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autoCompressPictures="0"/>
  <xr:revisionPtr revIDLastSave="203" documentId="8_{CDC3F9DF-4B84-4096-BC9D-4A88344ABEEC}" xr6:coauthVersionLast="47" xr6:coauthVersionMax="47" xr10:uidLastSave="{87007B84-4518-4E52-A4E3-AE51412A4748}"/>
  <bookViews>
    <workbookView xWindow="-120" yWindow="-120" windowWidth="29040" windowHeight="15840" activeTab="8" xr2:uid="{00000000-000D-0000-FFFF-FFFF00000000}"/>
  </bookViews>
  <sheets>
    <sheet name="Jan" sheetId="6" r:id="rId1"/>
    <sheet name="Feb" sheetId="9" r:id="rId2"/>
    <sheet name="Mar" sheetId="10" r:id="rId3"/>
    <sheet name="Apr" sheetId="11" r:id="rId4"/>
    <sheet name="May" sheetId="21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  <sheet name="Notes" sheetId="20" r:id="rId13"/>
  </sheets>
  <definedNames>
    <definedName name="AprSun1" localSheetId="4">DATE(CalendarYear,4,1)-WEEKDAY(DATE(CalendarYear,4,1))</definedName>
    <definedName name="AprSun1">DATE(CalendarYear,4,1)-WEEKDAY(DATE(CalendarYear,4,1))</definedName>
    <definedName name="AugSun1" localSheetId="4">DATE(CalendarYear,8,1)-WEEKDAY(DATE(CalendarYear,8,1))</definedName>
    <definedName name="AugSun1">DATE(CalendarYear,8,1)-WEEKDAY(DATE(CalendarYear,8,1))</definedName>
    <definedName name="CalendarYear">Jan!$H$1</definedName>
    <definedName name="DecSun1" localSheetId="4">DATE(CalendarYear,12,1)-WEEKDAY(DATE(CalendarYear,12,1))</definedName>
    <definedName name="DecSun1">DATE(CalendarYear,12,1)-WEEKDAY(DATE(CalendarYear,12,1))</definedName>
    <definedName name="FebSun1" localSheetId="4">DATE(CalendarYear,2,1)-WEEKDAY(DATE(CalendarYear,2,1))</definedName>
    <definedName name="FebSun1">DATE(CalendarYear,2,1)-WEEKDAY(DATE(CalendarYear,2,1))</definedName>
    <definedName name="JanSun1" localSheetId="4">DATE(CalendarYear,1,1)-WEEKDAY(DATE(CalendarYear,1,1))</definedName>
    <definedName name="JanSun1">DATE(CalendarYear,1,1)-WEEKDAY(DATE(CalendarYear,1,1))</definedName>
    <definedName name="JulSun1" localSheetId="4">DATE(CalendarYear,7,1)-WEEKDAY(DATE(CalendarYear,7,1))</definedName>
    <definedName name="JulSun1">DATE(CalendarYear,7,1)-WEEKDAY(DATE(CalendarYear,7,1))</definedName>
    <definedName name="JunSun1" localSheetId="4">DATE(CalendarYear,6,1)-WEEKDAY(DATE(CalendarYear,6,1))</definedName>
    <definedName name="JunSun1">DATE(CalendarYear,6,1)-WEEKDAY(DATE(CalendarYear,6,1))</definedName>
    <definedName name="MarSun1" localSheetId="4">DATE(CalendarYear,3,1)-WEEKDAY(DATE(CalendarYear,3,1))</definedName>
    <definedName name="MarSun1">DATE(CalendarYear,3,1)-WEEKDAY(DATE(CalendarYear,3,1))</definedName>
    <definedName name="MaySun1" localSheetId="4">DATE(CalendarYear,5,1)-WEEKDAY(DATE(CalendarYear,5,1))</definedName>
    <definedName name="MaySun1">DATE(CalendarYear,5,1)-WEEKDAY(DATE(CalendarYear,5,1))</definedName>
    <definedName name="NovSun1" localSheetId="4">DATE(CalendarYear,11,1)-WEEKDAY(DATE(CalendarYear,11,1))</definedName>
    <definedName name="NovSun1">DATE(CalendarYear,11,1)-WEEKDAY(DATE(CalendarYear,11,1))</definedName>
    <definedName name="OctSun1" localSheetId="4">DATE(CalendarYear,10,1)-WEEKDAY(DATE(CalendarYear,10,1))</definedName>
    <definedName name="OctSun1">DATE(CalendarYear,10,1)-WEEKDAY(DATE(CalendarYear,10,1))</definedName>
    <definedName name="_xlnm.Print_Area" localSheetId="3">Apr!$A$1:$J$17</definedName>
    <definedName name="_xlnm.Print_Area" localSheetId="7">Aug!$A$2:$J$15</definedName>
    <definedName name="_xlnm.Print_Area" localSheetId="11">Dec!$A$1:$J$17</definedName>
    <definedName name="_xlnm.Print_Area" localSheetId="1">Feb!$A$1:$J$16</definedName>
    <definedName name="_xlnm.Print_Area" localSheetId="0">Jan!$A$2:$G$14</definedName>
    <definedName name="_xlnm.Print_Area" localSheetId="6">Jul!$A$1:$J$17</definedName>
    <definedName name="_xlnm.Print_Area" localSheetId="5">Jun!$A$1:$J$16</definedName>
    <definedName name="_xlnm.Print_Area" localSheetId="2">Mar!$A$1:$J$16</definedName>
    <definedName name="_xlnm.Print_Area" localSheetId="4">May!$A$1:$J$16</definedName>
    <definedName name="_xlnm.Print_Area" localSheetId="10">Nov!$A$1:$J$16</definedName>
    <definedName name="_xlnm.Print_Area" localSheetId="9">Oct!$A$1:$G$15</definedName>
    <definedName name="_xlnm.Print_Area" localSheetId="8">Sep!$A$1:$J$16</definedName>
    <definedName name="SepSun1" localSheetId="4">DATE(CalendarYear,9,1)-WEEKDAY(DATE(CalendarYear,9,1))</definedName>
    <definedName name="SepSun1">DATE(CalendarYear,9,1)-WEEKDAY(DATE(CalendarYear,9,1))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21" l="1"/>
  <c r="A4" i="21"/>
  <c r="B4" i="21"/>
  <c r="C4" i="21"/>
  <c r="D4" i="21"/>
  <c r="E4" i="21"/>
  <c r="F4" i="21"/>
  <c r="G4" i="21"/>
  <c r="A6" i="21"/>
  <c r="B6" i="21"/>
  <c r="C6" i="21"/>
  <c r="D6" i="21"/>
  <c r="E6" i="21"/>
  <c r="F6" i="21"/>
  <c r="G6" i="21"/>
  <c r="A8" i="21"/>
  <c r="B8" i="21"/>
  <c r="C8" i="21"/>
  <c r="D8" i="21"/>
  <c r="E8" i="21"/>
  <c r="F8" i="21"/>
  <c r="G8" i="21"/>
  <c r="A10" i="21"/>
  <c r="B10" i="21"/>
  <c r="C10" i="21"/>
  <c r="D10" i="21"/>
  <c r="E10" i="21"/>
  <c r="F10" i="21"/>
  <c r="G10" i="21"/>
  <c r="A12" i="21"/>
  <c r="B12" i="21"/>
  <c r="C12" i="21"/>
  <c r="D12" i="21"/>
  <c r="E12" i="21"/>
  <c r="F12" i="21"/>
  <c r="G12" i="21"/>
  <c r="A2" i="10"/>
  <c r="A13" i="19"/>
  <c r="B13" i="14"/>
  <c r="A13" i="14"/>
  <c r="A6" i="11" l="1"/>
  <c r="A13" i="11"/>
  <c r="A4" i="6"/>
  <c r="B4" i="6"/>
  <c r="G6" i="17" l="1"/>
  <c r="C6" i="16" l="1"/>
  <c r="G4" i="14" l="1"/>
  <c r="C12" i="10" l="1"/>
  <c r="D8" i="10"/>
  <c r="B12" i="6" l="1"/>
  <c r="E6" i="6"/>
  <c r="E8" i="6"/>
  <c r="E10" i="6"/>
  <c r="C4" i="6" l="1"/>
  <c r="A2" i="13" l="1"/>
  <c r="A2" i="14"/>
  <c r="A2" i="15"/>
  <c r="A2" i="16"/>
  <c r="A2" i="17"/>
  <c r="A2" i="18"/>
  <c r="A2" i="19"/>
  <c r="G12" i="11"/>
  <c r="F12" i="11"/>
  <c r="E12" i="11"/>
  <c r="D12" i="11"/>
  <c r="C12" i="11"/>
  <c r="B12" i="11"/>
  <c r="A12" i="11"/>
  <c r="G10" i="11"/>
  <c r="F10" i="11"/>
  <c r="E10" i="11"/>
  <c r="D10" i="11"/>
  <c r="C10" i="11"/>
  <c r="B10" i="11"/>
  <c r="A10" i="11"/>
  <c r="G8" i="11"/>
  <c r="F8" i="11"/>
  <c r="E8" i="11"/>
  <c r="D8" i="11"/>
  <c r="C8" i="11"/>
  <c r="B8" i="11"/>
  <c r="A8" i="11"/>
  <c r="G6" i="11"/>
  <c r="F6" i="11"/>
  <c r="E6" i="11"/>
  <c r="D6" i="11"/>
  <c r="C6" i="11"/>
  <c r="B6" i="11"/>
  <c r="G4" i="11"/>
  <c r="F4" i="11"/>
  <c r="E4" i="11"/>
  <c r="D4" i="11"/>
  <c r="C4" i="11"/>
  <c r="B4" i="11"/>
  <c r="A4" i="11"/>
  <c r="G12" i="13"/>
  <c r="F12" i="13"/>
  <c r="E12" i="13"/>
  <c r="D12" i="13"/>
  <c r="C12" i="13"/>
  <c r="B12" i="13"/>
  <c r="A12" i="13"/>
  <c r="G10" i="13"/>
  <c r="F10" i="13"/>
  <c r="E10" i="13"/>
  <c r="D10" i="13"/>
  <c r="C10" i="13"/>
  <c r="B10" i="13"/>
  <c r="A10" i="13"/>
  <c r="G8" i="13"/>
  <c r="F8" i="13"/>
  <c r="E8" i="13"/>
  <c r="D8" i="13"/>
  <c r="C8" i="13"/>
  <c r="B8" i="13"/>
  <c r="A8" i="13"/>
  <c r="G6" i="13"/>
  <c r="F6" i="13"/>
  <c r="E6" i="13"/>
  <c r="D6" i="13"/>
  <c r="C6" i="13"/>
  <c r="B6" i="13"/>
  <c r="A6" i="13"/>
  <c r="G4" i="13"/>
  <c r="F4" i="13"/>
  <c r="E4" i="13"/>
  <c r="D4" i="13"/>
  <c r="C4" i="13"/>
  <c r="B4" i="13"/>
  <c r="A4" i="13"/>
  <c r="G12" i="14"/>
  <c r="F12" i="14"/>
  <c r="E12" i="14"/>
  <c r="D12" i="14"/>
  <c r="C12" i="14"/>
  <c r="B12" i="14"/>
  <c r="A12" i="14"/>
  <c r="G10" i="14"/>
  <c r="F10" i="14"/>
  <c r="E10" i="14"/>
  <c r="D10" i="14"/>
  <c r="C10" i="14"/>
  <c r="B10" i="14"/>
  <c r="A10" i="14"/>
  <c r="G8" i="14"/>
  <c r="F8" i="14"/>
  <c r="E8" i="14"/>
  <c r="D8" i="14"/>
  <c r="C8" i="14"/>
  <c r="B8" i="14"/>
  <c r="A8" i="14"/>
  <c r="G6" i="14"/>
  <c r="F6" i="14"/>
  <c r="E6" i="14"/>
  <c r="D6" i="14"/>
  <c r="C6" i="14"/>
  <c r="B6" i="14"/>
  <c r="A6" i="14"/>
  <c r="F4" i="14"/>
  <c r="E4" i="14"/>
  <c r="D4" i="14"/>
  <c r="C4" i="14"/>
  <c r="B4" i="14"/>
  <c r="A4" i="14"/>
  <c r="G12" i="15"/>
  <c r="F12" i="15"/>
  <c r="E12" i="15"/>
  <c r="D12" i="15"/>
  <c r="C12" i="15"/>
  <c r="B12" i="15"/>
  <c r="A12" i="15"/>
  <c r="G10" i="15"/>
  <c r="F10" i="15"/>
  <c r="E10" i="15"/>
  <c r="D10" i="15"/>
  <c r="C10" i="15"/>
  <c r="B10" i="15"/>
  <c r="A10" i="15"/>
  <c r="G8" i="15"/>
  <c r="F8" i="15"/>
  <c r="E8" i="15"/>
  <c r="D8" i="15"/>
  <c r="C8" i="15"/>
  <c r="B8" i="15"/>
  <c r="A8" i="15"/>
  <c r="G6" i="15"/>
  <c r="F6" i="15"/>
  <c r="E6" i="15"/>
  <c r="D6" i="15"/>
  <c r="C6" i="15"/>
  <c r="B6" i="15"/>
  <c r="A6" i="15"/>
  <c r="G4" i="15"/>
  <c r="F4" i="15"/>
  <c r="E4" i="15"/>
  <c r="D4" i="15"/>
  <c r="C4" i="15"/>
  <c r="B4" i="15"/>
  <c r="A4" i="15"/>
  <c r="G12" i="16"/>
  <c r="F12" i="16"/>
  <c r="E12" i="16"/>
  <c r="D12" i="16"/>
  <c r="C12" i="16"/>
  <c r="B12" i="16"/>
  <c r="A12" i="16"/>
  <c r="G10" i="16"/>
  <c r="F10" i="16"/>
  <c r="E10" i="16"/>
  <c r="D10" i="16"/>
  <c r="C10" i="16"/>
  <c r="B10" i="16"/>
  <c r="A10" i="16"/>
  <c r="G8" i="16"/>
  <c r="F8" i="16"/>
  <c r="E8" i="16"/>
  <c r="D8" i="16"/>
  <c r="C8" i="16"/>
  <c r="B8" i="16"/>
  <c r="A8" i="16"/>
  <c r="G6" i="16"/>
  <c r="F6" i="16"/>
  <c r="E6" i="16"/>
  <c r="D6" i="16"/>
  <c r="B6" i="16"/>
  <c r="A6" i="16"/>
  <c r="G4" i="16"/>
  <c r="F4" i="16"/>
  <c r="E4" i="16"/>
  <c r="D4" i="16"/>
  <c r="C4" i="16"/>
  <c r="B4" i="16"/>
  <c r="A4" i="16"/>
  <c r="F12" i="17"/>
  <c r="E12" i="17"/>
  <c r="D12" i="17"/>
  <c r="C12" i="17"/>
  <c r="B12" i="17"/>
  <c r="A12" i="17"/>
  <c r="G10" i="17"/>
  <c r="F10" i="17"/>
  <c r="E10" i="17"/>
  <c r="D10" i="17"/>
  <c r="C10" i="17"/>
  <c r="B10" i="17"/>
  <c r="A10" i="17"/>
  <c r="G8" i="17"/>
  <c r="F8" i="17"/>
  <c r="E8" i="17"/>
  <c r="D8" i="17"/>
  <c r="C8" i="17"/>
  <c r="B8" i="17"/>
  <c r="A8" i="17"/>
  <c r="F6" i="17"/>
  <c r="E6" i="17"/>
  <c r="D6" i="17"/>
  <c r="C6" i="17"/>
  <c r="B6" i="17"/>
  <c r="A6" i="17"/>
  <c r="G4" i="17"/>
  <c r="F4" i="17"/>
  <c r="E4" i="17"/>
  <c r="D4" i="17"/>
  <c r="C4" i="17"/>
  <c r="B4" i="17"/>
  <c r="A4" i="17"/>
  <c r="G12" i="18"/>
  <c r="F12" i="18"/>
  <c r="E12" i="18"/>
  <c r="D12" i="18"/>
  <c r="C12" i="18"/>
  <c r="B12" i="18"/>
  <c r="A12" i="18"/>
  <c r="G10" i="18"/>
  <c r="F10" i="18"/>
  <c r="E10" i="18"/>
  <c r="D10" i="18"/>
  <c r="C10" i="18"/>
  <c r="B10" i="18"/>
  <c r="A10" i="18"/>
  <c r="G8" i="18"/>
  <c r="F8" i="18"/>
  <c r="E8" i="18"/>
  <c r="D8" i="18"/>
  <c r="C8" i="18"/>
  <c r="B8" i="18"/>
  <c r="A8" i="18"/>
  <c r="G6" i="18"/>
  <c r="F6" i="18"/>
  <c r="E6" i="18"/>
  <c r="D6" i="18"/>
  <c r="C6" i="18"/>
  <c r="B6" i="18"/>
  <c r="A6" i="18"/>
  <c r="G4" i="18"/>
  <c r="F4" i="18"/>
  <c r="E4" i="18"/>
  <c r="D4" i="18"/>
  <c r="C4" i="18"/>
  <c r="B4" i="18"/>
  <c r="A4" i="18"/>
  <c r="G12" i="19"/>
  <c r="F12" i="19"/>
  <c r="E12" i="19"/>
  <c r="D12" i="19"/>
  <c r="C12" i="19"/>
  <c r="B12" i="19"/>
  <c r="A12" i="19"/>
  <c r="G10" i="19"/>
  <c r="F10" i="19"/>
  <c r="E10" i="19"/>
  <c r="D10" i="19"/>
  <c r="C10" i="19"/>
  <c r="B10" i="19"/>
  <c r="A10" i="19"/>
  <c r="G8" i="19"/>
  <c r="F8" i="19"/>
  <c r="E8" i="19"/>
  <c r="D8" i="19"/>
  <c r="C8" i="19"/>
  <c r="B8" i="19"/>
  <c r="A8" i="19"/>
  <c r="G6" i="19"/>
  <c r="F6" i="19"/>
  <c r="E6" i="19"/>
  <c r="D6" i="19"/>
  <c r="C6" i="19"/>
  <c r="B6" i="19"/>
  <c r="A6" i="19"/>
  <c r="G4" i="19"/>
  <c r="F4" i="19"/>
  <c r="E4" i="19"/>
  <c r="D4" i="19"/>
  <c r="C4" i="19"/>
  <c r="B4" i="19"/>
  <c r="A4" i="19"/>
  <c r="A2" i="11"/>
  <c r="G12" i="10"/>
  <c r="F12" i="10"/>
  <c r="E12" i="10"/>
  <c r="D12" i="10"/>
  <c r="B12" i="10"/>
  <c r="A12" i="10"/>
  <c r="G10" i="10"/>
  <c r="F10" i="10"/>
  <c r="E10" i="10"/>
  <c r="D10" i="10"/>
  <c r="C10" i="10"/>
  <c r="B10" i="10"/>
  <c r="A10" i="10"/>
  <c r="G8" i="10"/>
  <c r="F8" i="10"/>
  <c r="E8" i="10"/>
  <c r="C8" i="10"/>
  <c r="B8" i="10"/>
  <c r="A8" i="10"/>
  <c r="G6" i="10"/>
  <c r="F6" i="10"/>
  <c r="E6" i="10"/>
  <c r="D6" i="10"/>
  <c r="C6" i="10"/>
  <c r="B6" i="10"/>
  <c r="A6" i="10"/>
  <c r="G4" i="10"/>
  <c r="F4" i="10"/>
  <c r="E4" i="10"/>
  <c r="D4" i="10"/>
  <c r="C4" i="10"/>
  <c r="B4" i="10"/>
  <c r="A4" i="10"/>
  <c r="G12" i="9"/>
  <c r="F12" i="9"/>
  <c r="E12" i="9"/>
  <c r="D12" i="9"/>
  <c r="C12" i="9"/>
  <c r="B12" i="9"/>
  <c r="A12" i="9"/>
  <c r="G10" i="9"/>
  <c r="F10" i="9"/>
  <c r="E10" i="9"/>
  <c r="D10" i="9"/>
  <c r="C10" i="9"/>
  <c r="B10" i="9"/>
  <c r="A10" i="9"/>
  <c r="G8" i="9"/>
  <c r="F8" i="9"/>
  <c r="E8" i="9"/>
  <c r="D8" i="9"/>
  <c r="C8" i="9"/>
  <c r="B8" i="9"/>
  <c r="A8" i="9"/>
  <c r="G6" i="9"/>
  <c r="F6" i="9"/>
  <c r="E6" i="9"/>
  <c r="D6" i="9"/>
  <c r="C6" i="9"/>
  <c r="B6" i="9"/>
  <c r="A6" i="9"/>
  <c r="G4" i="9"/>
  <c r="F4" i="9"/>
  <c r="E4" i="9"/>
  <c r="D4" i="9"/>
  <c r="C4" i="9"/>
  <c r="B4" i="9"/>
  <c r="A4" i="9"/>
  <c r="A2" i="9"/>
  <c r="A2" i="6" l="1"/>
  <c r="D4" i="6" l="1"/>
  <c r="E4" i="6"/>
  <c r="F4" i="6"/>
  <c r="G4" i="6"/>
  <c r="A6" i="6"/>
  <c r="B6" i="6"/>
  <c r="C6" i="6"/>
  <c r="D6" i="6"/>
  <c r="F6" i="6"/>
  <c r="G6" i="6"/>
  <c r="A8" i="6"/>
  <c r="B8" i="6"/>
  <c r="C8" i="6"/>
  <c r="D8" i="6"/>
  <c r="F8" i="6"/>
  <c r="G8" i="6"/>
  <c r="A10" i="6"/>
  <c r="B10" i="6"/>
  <c r="C10" i="6"/>
  <c r="D10" i="6"/>
  <c r="F10" i="6"/>
  <c r="G10" i="6"/>
  <c r="A12" i="6"/>
  <c r="C12" i="6"/>
  <c r="D12" i="6"/>
  <c r="E12" i="6"/>
  <c r="F12" i="6"/>
  <c r="G12" i="6"/>
</calcChain>
</file>

<file path=xl/sharedStrings.xml><?xml version="1.0" encoding="utf-8"?>
<sst xmlns="http://schemas.openxmlformats.org/spreadsheetml/2006/main" count="462" uniqueCount="358">
  <si>
    <t>SUNDAY</t>
  </si>
  <si>
    <t>MONDAY</t>
  </si>
  <si>
    <t>TUESDAY</t>
  </si>
  <si>
    <t>WEDNESDAY</t>
  </si>
  <si>
    <t>THURSDAY</t>
  </si>
  <si>
    <t>FRIDAY</t>
  </si>
  <si>
    <t>SATURDAY</t>
  </si>
  <si>
    <t>Meeting Topics:          1. Slips Trips Falls           2. OSHA Recording</t>
  </si>
  <si>
    <t>New Year's Day</t>
  </si>
  <si>
    <t>Start getting your 2020 OSHA Log in shape!</t>
  </si>
  <si>
    <t>Don't be a distracted driver….NO cell phone use while driving!!</t>
  </si>
  <si>
    <t>Don't store things                      in front of                             electrical panels.</t>
  </si>
  <si>
    <t>Do you know your company's emergency action plan?</t>
  </si>
  <si>
    <t>Wear the appropriate shoes for the job you are performing!</t>
  </si>
  <si>
    <t>When climbing stairs, please use              the handrail.</t>
  </si>
  <si>
    <t>Work in loud areas?   Wear hearing protection!</t>
  </si>
  <si>
    <t>Think smart       before you start.</t>
  </si>
  <si>
    <t>Watch Your Step!</t>
  </si>
  <si>
    <t>Are you working late?  Walk out with a co-worker.</t>
  </si>
  <si>
    <t>Precaution is better than the cure!</t>
  </si>
  <si>
    <t>Martin Luther King Day</t>
  </si>
  <si>
    <t xml:space="preserve">Is there 18” clearance                   from all                      sprinkler heads? </t>
  </si>
  <si>
    <t>Do all electrical outlets have secure faceplates?</t>
  </si>
  <si>
    <t>Stockroom safety should always be a top priority.</t>
  </si>
  <si>
    <t>Select the                          right ladder                      for your task.</t>
  </si>
  <si>
    <t>OSHA Log - only recordable claims need to logged on Form 300</t>
  </si>
  <si>
    <t>Don't learn safety       by accident!</t>
  </si>
  <si>
    <t>Minimize                        extension                                      cord use.</t>
  </si>
  <si>
    <t>Eyes are priceless, eye protection is cheap!</t>
  </si>
  <si>
    <t>Entrance mats should always be in good shape.</t>
  </si>
  <si>
    <t>See a spill on the floor?  Clean it up before someone slips!</t>
  </si>
  <si>
    <t>One split second of carelessness,                 will change                      your entire life!</t>
  </si>
  <si>
    <t>Report near misses.  You might prevent someone else's injury!</t>
  </si>
  <si>
    <t xml:space="preserve">Set a New Years 
resolution….         have regular 
Safety Meetings!
</t>
  </si>
  <si>
    <t>A spill, a slip                       =                                       a hospital trip!</t>
  </si>
  <si>
    <t>How is that First Aid kit looking?                  Its time to       replenish it.</t>
  </si>
  <si>
    <t>A neat and clean workplace is necessary for safety.</t>
  </si>
  <si>
    <t>Provided by RETAIL ASSOCIATION SERVICES, Inc.</t>
  </si>
  <si>
    <t>Meeting Topics:       1. Remote Work          2. APP Update</t>
  </si>
  <si>
    <t>Now is a good time to review your         Safety Program.</t>
  </si>
  <si>
    <t>Not having an Accident Prevention Progam is L&amp;I's top cited item!</t>
  </si>
  <si>
    <t>Your OSHA 300A form needs to be posted today!</t>
  </si>
  <si>
    <t>A neat and                  clean workplace                       is necessary                         for safety.</t>
  </si>
  <si>
    <t>When you have an object to lift that is too heavy or bulky, get help!</t>
  </si>
  <si>
    <t>Safety is a commitment to yourself!</t>
  </si>
  <si>
    <t>Horseplay has consequences</t>
  </si>
  <si>
    <t>Know your responsibility in every emergency situation.</t>
  </si>
  <si>
    <t>Remember machines have no brain, so use yours when operating them!</t>
  </si>
  <si>
    <t>Do not place merchandise or storage  on steps.</t>
  </si>
  <si>
    <t>How is your                              safety attitude?</t>
  </si>
  <si>
    <t>Learn from                   others' mistakes.  Don't have others learn from you!</t>
  </si>
  <si>
    <t>Are your required posters current?  Minimum Wage?</t>
  </si>
  <si>
    <t xml:space="preserve">Protect your hands  and wear gloves. </t>
  </si>
  <si>
    <t>Do you know what     the A-B-C's mean on a fire extinguisher?</t>
  </si>
  <si>
    <t>Being safe is                     not a roll                           of the dice!</t>
  </si>
  <si>
    <t>How are the entrance mats looking?  Do they need replacement?</t>
  </si>
  <si>
    <t>Remember to                            use proper                       lifting methods</t>
  </si>
  <si>
    <t>Always keep travel                        path and exit                         ways clear.</t>
  </si>
  <si>
    <t>Inspect ladders before you use them.</t>
  </si>
  <si>
    <t>Need help with Safety Meeting           topics?  Call Rick               360.200.6454</t>
  </si>
  <si>
    <t xml:space="preserve">Use the handrail when on stairs. </t>
  </si>
  <si>
    <t>Safety is as simple as ABC…..                        Always Be Careful</t>
  </si>
  <si>
    <t>Meeting Topics:      1. Eye Protection      2. Ladder Safety</t>
  </si>
  <si>
    <t>Think Eye Safety!</t>
  </si>
  <si>
    <t>OSHA 300A needs to be filed electronically by today</t>
  </si>
  <si>
    <t>Assist your lift -                  is there a tool to              help you lift?</t>
  </si>
  <si>
    <t>Chance takers are accident makers.</t>
  </si>
  <si>
    <t>Hazard Check -                      make sure spills are cleaned up quickly!</t>
  </si>
  <si>
    <t>Safety is like a lock, But you are the key!</t>
  </si>
  <si>
    <t>Are Exit signs properly working?</t>
  </si>
  <si>
    <t>Daylight Savings Starts!</t>
  </si>
  <si>
    <t>Many accidents happen when we rush!  Slow down for safety sake!</t>
  </si>
  <si>
    <t>When on a ladder,              remember the                        belt buckle rule.</t>
  </si>
  <si>
    <t>Don’t let a near miss go unreported.                  It will teach prevention!</t>
  </si>
  <si>
    <t>Alcohol has no place in the work place!</t>
  </si>
  <si>
    <t>Safety devices are there to protect you.  Use them!</t>
  </si>
  <si>
    <t>Have all your new hires had safety training?</t>
  </si>
  <si>
    <t>Don’t build or use makeshift ladders out of chairs, benches, or boxes!</t>
  </si>
  <si>
    <t>Use both hands when using power equipment</t>
  </si>
  <si>
    <t xml:space="preserve">All stairwells are clear and free obstruction? </t>
  </si>
  <si>
    <t>Hanging a display? Be cautious &amp; no awkward reaching.</t>
  </si>
  <si>
    <r>
      <rPr>
        <sz val="12"/>
        <rFont val="Calibri"/>
        <family val="2"/>
      </rPr>
      <t>When using computers - Reduce eye strain by using the 20-20-20 rule</t>
    </r>
    <r>
      <rPr>
        <sz val="10"/>
        <rFont val="Calibri"/>
        <family val="2"/>
      </rPr>
      <t xml:space="preserve"> </t>
    </r>
  </si>
  <si>
    <t xml:space="preserve">Safety is a cheap                          and effective insurance policy.  </t>
  </si>
  <si>
    <t>Electrical panels need access at all times!</t>
  </si>
  <si>
    <t xml:space="preserve"> Don't use                   damaged ladders.                        Report them                    immediately.</t>
  </si>
  <si>
    <t>Falls from ladders are one of the most common causes of injury in retail.</t>
  </si>
  <si>
    <t>Meeting Topics:     1. Safety Meetings     2. Distracted Driving</t>
  </si>
  <si>
    <t>Your job provides a paycheck, but your safety allows                    you to go home.</t>
  </si>
  <si>
    <t>While on a ladder,                             never step back                           to admire your work!</t>
  </si>
  <si>
    <t>If you don't think                        something is safe….                           Then it probably isn't!</t>
  </si>
  <si>
    <t xml:space="preserve">Hear today,                        gone tomorrow -                   Wear hearing protection! </t>
  </si>
  <si>
    <t>8 feet can be fatal-              Be safe with ladders</t>
  </si>
  <si>
    <t>Eyes on the computer all day?                 Remember the         20-20-20 rule.</t>
  </si>
  <si>
    <t>An ounce of                    precaution is worth                          a pound of cure!</t>
  </si>
  <si>
    <t>Don't let your phone become a distraction while driving!  Save it for your next stop.</t>
  </si>
  <si>
    <t xml:space="preserve">Safety Meetings                     are time well spent! </t>
  </si>
  <si>
    <t>Remember to lift with your legs and not your back.</t>
  </si>
  <si>
    <t>SDS - Corrosives</t>
  </si>
  <si>
    <t>Are you prepared                    to act in case of                     an emergency?</t>
  </si>
  <si>
    <t>Remember machines have no brain,                   so use yours when operating them!</t>
  </si>
  <si>
    <t>Do you know how to read the new material Safety Data Sheets?</t>
  </si>
  <si>
    <t>Safety means                              first aid to                           the un-injured!</t>
  </si>
  <si>
    <t>L&amp;I requires you                                to keep 12 months                               of safety meetings                       in a binder.</t>
  </si>
  <si>
    <t>Good housekeeping leads to fewer accidents!</t>
  </si>
  <si>
    <t>Prevent slips                   by cleaning                     up spills quickly!</t>
  </si>
  <si>
    <t>Safety rules                          are the                                 best tools!</t>
  </si>
  <si>
    <t>Working with chemicals or cleaners?  Use gloves and eye protection</t>
  </si>
  <si>
    <t>Accident prevention includes reporting near misses.</t>
  </si>
  <si>
    <t>In case of Fire -            Do you know your escape route?</t>
  </si>
  <si>
    <t xml:space="preserve">Driving requires that                          you pay attention                            at all times. </t>
  </si>
  <si>
    <t>Check your emergency lighting.  Are the                        batteries still good?</t>
  </si>
  <si>
    <t>Safety first,                    last and                                   always!</t>
  </si>
  <si>
    <t>Meeting Topics:        1. Overexertion         2.  Electrical Safety</t>
  </si>
  <si>
    <t>Prevent Sprains &amp; Strains by using tools that will reduce overexertion.</t>
  </si>
  <si>
    <t>Well maintained tools and equipment help to prevent accidents!</t>
  </si>
  <si>
    <t>Don't learn safety                  by accident!</t>
  </si>
  <si>
    <t>How are your first aid kits looking?     Replenish as                 needed now.</t>
  </si>
  <si>
    <t>Exercise to feel         stronger and           live longer!</t>
  </si>
  <si>
    <t>Do not use extension cords that have exposed wires.</t>
  </si>
  <si>
    <t>Heavy load? Remember                       “team lift”                          for back safety!</t>
  </si>
  <si>
    <t>SDS - Flammable</t>
  </si>
  <si>
    <t>Don't be distracted              while driving.                   Your life depends you pay attention!</t>
  </si>
  <si>
    <t>Make sure ladders are properly set up before using them.</t>
  </si>
  <si>
    <t>Do you know where the Accident Prevention Program is located?</t>
  </si>
  <si>
    <t>Wear proper hand protection               for the job that            you are doing.</t>
  </si>
  <si>
    <t>How is your safety attitude?</t>
  </si>
  <si>
    <t>Eliminate slips -            wear shoes that                   are appropriate                    for the job.</t>
  </si>
  <si>
    <t>Remember to lift with your legs        and not your back.</t>
  </si>
  <si>
    <t>Do you know how to read the SDS labeling?</t>
  </si>
  <si>
    <t>Being accident                                 free is by doing your           part to be safe.</t>
  </si>
  <si>
    <t>Inspect your              parking lot                    for any hazards.</t>
  </si>
  <si>
    <t>Are switches                               in electrical panels                            properly labeled?</t>
  </si>
  <si>
    <t>Too loud?                Protect your ears               from damage       with ear plugs.</t>
  </si>
  <si>
    <t>Does anyone                             count on YOU               for their safety?</t>
  </si>
  <si>
    <t>Time to                      replace any               worn out PPE?</t>
  </si>
  <si>
    <t>Memorial Day</t>
  </si>
  <si>
    <t>Reduce trips by keeping aisles                 clear and neat.</t>
  </si>
  <si>
    <t>Lift wisely                        to prevent                            Overexertion</t>
  </si>
  <si>
    <t>Provided by WA RETAIL SERVICES, Inc.</t>
  </si>
  <si>
    <t>Meeting Topics:       1. APP current?         2.  Box Knife Use</t>
  </si>
  <si>
    <t>Have you tried the free safety app?    www.wrasafeme.org</t>
  </si>
  <si>
    <t>What is your safety accountability?</t>
  </si>
  <si>
    <t>SDS - Carcinogen</t>
  </si>
  <si>
    <t>Use tools correctly - Lacerations by box cutters are common in the retail trade.</t>
  </si>
  <si>
    <t>Is your             Emergency Contact                list current?</t>
  </si>
  <si>
    <t>Are your Safety Meeting records                  up to date?</t>
  </si>
  <si>
    <t>Lift in the power zone - This area is from your knees                        to shoulders.</t>
  </si>
  <si>
    <t>Never work on a battery around an open flame - the gases can create an explosion!</t>
  </si>
  <si>
    <t>Before using a ladder - first check                            it for any defects.</t>
  </si>
  <si>
    <t xml:space="preserve"> When using a box knife, make sure you have a sharp blade.</t>
  </si>
  <si>
    <t>Focus on where you are walking and avoid slip/trip hazards.</t>
  </si>
  <si>
    <t>Do you know                      the nine                  SDS pictograms?</t>
  </si>
  <si>
    <t>Walking is an easy way to stay healthy!</t>
  </si>
  <si>
    <t>Would you feel comfortable using           a fire extinguisher          if you needed to?</t>
  </si>
  <si>
    <t>Where do you meet after an emergency evacuation?</t>
  </si>
  <si>
    <r>
      <rPr>
        <sz val="12"/>
        <rFont val="Calibri"/>
        <family val="2"/>
      </rPr>
      <t>When did you              last check your                   smoke detectors?</t>
    </r>
    <r>
      <rPr>
        <sz val="10"/>
        <rFont val="Calibri"/>
        <family val="2"/>
      </rPr>
      <t xml:space="preserve">  </t>
    </r>
  </si>
  <si>
    <t>Use hand rails       while on stairs.</t>
  </si>
  <si>
    <t>Safety is a                frame of mind, so concentrate                    on it all the time.</t>
  </si>
  <si>
    <t>Sitting too much?                  Get up a take                       stretch break.</t>
  </si>
  <si>
    <t>How current                         are your                 Safety Data Sheets?</t>
  </si>
  <si>
    <t>Kevlar gloves can  protect your hands from knife cuts.</t>
  </si>
  <si>
    <t>Take a load off your back and use carts or hand trucks to move merchandise.</t>
  </si>
  <si>
    <t>Never give                  safety a                         day off.</t>
  </si>
  <si>
    <t>Does your sunscreen protect against UVA and UVB rays?</t>
  </si>
  <si>
    <t>See a                                    trip hazard?                    Clean it up                       right away.</t>
  </si>
  <si>
    <t>Eliminate the slip or trip and you will eliminate the fall!</t>
  </si>
  <si>
    <t>Does your shop have a safety culture?  It starts with you!</t>
  </si>
  <si>
    <t>Most ladder accidents happen under 8 feet and while climbing down.</t>
  </si>
  <si>
    <t>Meeting Topics:          1. Stairs &amp; Falls            2. Heat Stress</t>
  </si>
  <si>
    <t>On the road?                      Be off the phone!</t>
  </si>
  <si>
    <t>Is there a tool to help you to do the lifting?  Get it and save your back!</t>
  </si>
  <si>
    <t>Clean up spills                     quickly before they                        become accidents.</t>
  </si>
  <si>
    <t xml:space="preserve">Driving?  Leave your cell phone off so you reduce the chance of an accident. </t>
  </si>
  <si>
    <t>Prevent Slipping -           Be careful as you move from one type of surface to another.</t>
  </si>
  <si>
    <t>Remember to                     check over the                               ladder before                      using it.</t>
  </si>
  <si>
    <t>INDEPENDENCE DAY</t>
  </si>
  <si>
    <t>Uneven surfaces require your                  attention so that                     you don't fall.</t>
  </si>
  <si>
    <t>Keep electrical panels easily accessible.  Do not block them.</t>
  </si>
  <si>
    <t>It may only take                        a moment but use                                PPE at all times!</t>
  </si>
  <si>
    <t>Chance takers are accident makers!</t>
  </si>
  <si>
    <t>Are your safety            glasses made to Z87+ standards?</t>
  </si>
  <si>
    <t xml:space="preserve"> Reduce slips and falls by wearing proper shoes for the surface you are on. </t>
  </si>
  <si>
    <t>Setting the bead on large or old tires can be hazardous.  Use a cage for safety.</t>
  </si>
  <si>
    <t>SDS Symbol - Irritant</t>
  </si>
  <si>
    <t>Safety Meetings -    Have you had yours this month?</t>
  </si>
  <si>
    <t>Stairwells are not stock rooms!                    Keep stairs clear                 at all times.</t>
  </si>
  <si>
    <t>Summer is here and time to get outside and play safely!</t>
  </si>
  <si>
    <t>The hotter it gets outside, the more water you need inside.</t>
  </si>
  <si>
    <t>Eyes tired from computer use?  Try the 20/20/20 rule.</t>
  </si>
  <si>
    <t>Using a pallet jack?                             Remember to push - not pull.</t>
  </si>
  <si>
    <t>Lifting awkward object?                       Get help to make                    it a safer lift.</t>
  </si>
  <si>
    <t>Stay hydrated and drink plenty of water on hot days.</t>
  </si>
  <si>
    <t>How new is              your Accident                 Prevention Program?</t>
  </si>
  <si>
    <t>Accidents happen when you hurry!  The accident will not speed things up.</t>
  </si>
  <si>
    <t>Stairs that have colored 'nose' treads make it easy to see each transition.</t>
  </si>
  <si>
    <t>Safety begins and                                      ends with you!</t>
  </si>
  <si>
    <t>When did you               last do a full                                  safety check of                                the entire store?</t>
  </si>
  <si>
    <t>Wishing won't                 keep you safe                   but safety will.</t>
  </si>
  <si>
    <t>Using a ladder?                      Use the right                      one for the task.</t>
  </si>
  <si>
    <t>Provided by RETAIL SERVICES, Inc.</t>
  </si>
  <si>
    <t>Meeting Topics:                   1. Back Safety                    2.  Near Misses</t>
  </si>
  <si>
    <t>Do you work in an      85db area?  Wear hearing protection!</t>
  </si>
  <si>
    <t>SDS - Acute Toxicity</t>
  </si>
  <si>
    <t>Lift wisely and                                 get help                                   if it is too                        much for you.</t>
  </si>
  <si>
    <t>The precaution                           is better than                           the cure.</t>
  </si>
  <si>
    <t>Safety rules                                   are the                                      best tools!</t>
  </si>
  <si>
    <t>Most ladder accidents happen as you descend.</t>
  </si>
  <si>
    <t>Auto group -                Inspect vehicle                                lifts daily!</t>
  </si>
  <si>
    <t>Are EXIT signs                                   in good shape?</t>
  </si>
  <si>
    <t>Fire extinguisher basics -  Do you remember the PASS method?</t>
  </si>
  <si>
    <r>
      <t xml:space="preserve">Who counts                             on you for                    </t>
    </r>
    <r>
      <rPr>
        <u/>
        <sz val="12"/>
        <rFont val="Calibri"/>
        <family val="2"/>
      </rPr>
      <t>their</t>
    </r>
    <r>
      <rPr>
        <sz val="12"/>
        <rFont val="Calibri"/>
        <family val="2"/>
      </rPr>
      <t xml:space="preserve"> safety?</t>
    </r>
  </si>
  <si>
    <t>Do you know when your next safety meeting is?</t>
  </si>
  <si>
    <t>Push pallet jacks, carts, hand trucks.  You will be less likely to strain your back.</t>
  </si>
  <si>
    <t>When was your Hazard Communication Plan last updated?</t>
  </si>
  <si>
    <t>Is there a culture                     of safety in your workplace?</t>
  </si>
  <si>
    <t>Don't let a                        near miss become                       and accident!</t>
  </si>
  <si>
    <t>Safety guards are                  there to protect you.                Use them!</t>
  </si>
  <si>
    <t>Safety is like a lock,       But you are the key!</t>
  </si>
  <si>
    <t>Is there a manager on duty that is                 First Aid certified?</t>
  </si>
  <si>
    <t>Poor work desk posture?  Positon your body more ergonomically.</t>
  </si>
  <si>
    <t>Good housekeeping                    helps in preventing                      a "near miss"</t>
  </si>
  <si>
    <t>Clean up spills                            quickly before                              someone slips.</t>
  </si>
  <si>
    <t>You were lucky this time, but will you be next time?  Report Near Misses!</t>
  </si>
  <si>
    <t>Safety tips learned                at work can apply to home and family as well.</t>
  </si>
  <si>
    <t>Use extra caution when on a ladder.  Most falls happen under 8 feet high.</t>
  </si>
  <si>
    <t>Time to                                 check those                                       fire extinguishers.</t>
  </si>
  <si>
    <t>Just because you've always done something one way, doesn't mean it's the safe way!</t>
  </si>
  <si>
    <t>Have you                     checked out                               RS SafetyTV?</t>
  </si>
  <si>
    <t>Remember to wear sunscreen that has UVA and UVB      protection</t>
  </si>
  <si>
    <t>Meeting Topics:       1. PPE                                       2. Ergonomics</t>
  </si>
  <si>
    <t>Reduce tripping -             Make sure carpet                        or mat edges                         are lying flat.</t>
  </si>
  <si>
    <t>Be careful when re-inflating tires and don't overinflate past tire specifications.</t>
  </si>
  <si>
    <t>Don't drink and    drive or ride                 with drivers who             are drinking.</t>
  </si>
  <si>
    <t>Accidents hurt -                         Safety doesn't.</t>
  </si>
  <si>
    <t>Labor Day                   Holiday</t>
  </si>
  <si>
    <t>Remember to lift                           with your legs and                               keep your                       back straight.</t>
  </si>
  <si>
    <t>When driving,             pay attention                       at all times!</t>
  </si>
  <si>
    <t>Make sure               flammable liquid              containers are sealed when not in use.</t>
  </si>
  <si>
    <t xml:space="preserve">Do some stretching exercise before you start a lot of lifting. </t>
  </si>
  <si>
    <t>How are you contributing to the safety culture                            at your store?</t>
  </si>
  <si>
    <t>Chance takers are accident makers</t>
  </si>
  <si>
    <t>Get help when                          lifting heavy or                       awkward loads.</t>
  </si>
  <si>
    <t>Wear proper eye                            gear for the task.</t>
  </si>
  <si>
    <t>Check your first aid kits to make sure they will be ready when needed.</t>
  </si>
  <si>
    <t>Use job rotation         to reduce repetition                      type injuries.</t>
  </si>
  <si>
    <t>How is your                               safety attitude?</t>
  </si>
  <si>
    <t>Respect power tools' safety guards. They are there for a purpose.</t>
  </si>
  <si>
    <t>Record retention:    Safety Meetings=     1 yr.  OSHA300=        5 yrs.  SDS=30 yrs.</t>
  </si>
  <si>
    <t>Hear today -                 gone tomorrow.</t>
  </si>
  <si>
    <t>8 feet can be fatal - Be safe with ladders</t>
  </si>
  <si>
    <t>Motivate yourself and it will motivate your well-being.</t>
  </si>
  <si>
    <t>What is the difference between Flammable and Combustible?</t>
  </si>
  <si>
    <t>Wear proper hand protection for the job that you are doing.</t>
  </si>
  <si>
    <t>Eliminate the slip                    or trip and you will eliminate the fall!</t>
  </si>
  <si>
    <t>Rushing causes accidents!                                 Give yourself enough                    time to be safe.</t>
  </si>
  <si>
    <t>Ergonomics - working with your body in the most natural                       position possible.</t>
  </si>
  <si>
    <t>SDS - Explosive</t>
  </si>
  <si>
    <t>Meeting Topics:      1.CO Poisoning  2.Pallet Jacks</t>
  </si>
  <si>
    <t>Preparedness is              your best defense.</t>
  </si>
  <si>
    <t>Check flashlights to                   make sure they work!</t>
  </si>
  <si>
    <t>Test Smoke                       and CO detectors.</t>
  </si>
  <si>
    <r>
      <t xml:space="preserve">Safety is simple as                                 </t>
    </r>
    <r>
      <rPr>
        <b/>
        <sz val="12"/>
        <rFont val="Calibri"/>
        <family val="2"/>
      </rPr>
      <t xml:space="preserve"> A</t>
    </r>
    <r>
      <rPr>
        <sz val="12"/>
        <rFont val="Calibri"/>
        <family val="2"/>
      </rPr>
      <t xml:space="preserve">lways                                         </t>
    </r>
    <r>
      <rPr>
        <b/>
        <sz val="12"/>
        <rFont val="Calibri"/>
        <family val="2"/>
      </rPr>
      <t>B</t>
    </r>
    <r>
      <rPr>
        <sz val="12"/>
        <rFont val="Calibri"/>
        <family val="2"/>
      </rPr>
      <t xml:space="preserve">e                                            </t>
    </r>
    <r>
      <rPr>
        <b/>
        <sz val="12"/>
        <rFont val="Calibri"/>
        <family val="2"/>
      </rPr>
      <t>C</t>
    </r>
    <r>
      <rPr>
        <sz val="12"/>
        <rFont val="Calibri"/>
        <family val="2"/>
      </rPr>
      <t>areful</t>
    </r>
  </si>
  <si>
    <t>Safety saves but accidents cost you.</t>
  </si>
  <si>
    <t>Do you know what the A-B-C's mean on a fire extinguisher?</t>
  </si>
  <si>
    <t>Personal Protective Equipment is great for self defense.</t>
  </si>
  <si>
    <t>Accident causes:   Rushing, Frustration, Fatigue, Complacency</t>
  </si>
  <si>
    <t>Heavy Load?                  Get help or a better tool to assist you.</t>
  </si>
  <si>
    <t xml:space="preserve">Do you push or pull a pallet jack? </t>
  </si>
  <si>
    <t>If a cord has a fray, replace it right away!</t>
  </si>
  <si>
    <t>Don't reach so far!    Use another tool to                             move it closer.</t>
  </si>
  <si>
    <t>Eliminate slips -            wear shoes that are appropriate                    for the job.</t>
  </si>
  <si>
    <t xml:space="preserve">What ways can you woirk safer today? </t>
  </si>
  <si>
    <t>Do not use gas powered equipment indoors!  CO builds quickly!!</t>
  </si>
  <si>
    <t>Replace worn                         out entry mats.</t>
  </si>
  <si>
    <r>
      <rPr>
        <sz val="12"/>
        <rFont val="Calibri"/>
        <family val="2"/>
      </rPr>
      <t xml:space="preserve">Now is a good time       to update the emergency              contact list. </t>
    </r>
    <r>
      <rPr>
        <sz val="10"/>
        <rFont val="Calibri"/>
        <family val="2"/>
      </rPr>
      <t xml:space="preserve"> </t>
    </r>
  </si>
  <si>
    <t>Are you floors free of tripping/slipping hazards?</t>
  </si>
  <si>
    <t xml:space="preserve">Walking in wet areas? Appropriate shoes will give you good traction! </t>
  </si>
  <si>
    <t xml:space="preserve">Avoid potential CO poisoning, check gas heater manifolds for damage. </t>
  </si>
  <si>
    <t>ShakeOut (Earthquake)                               drill                        today</t>
  </si>
  <si>
    <t>Have your new hires received their safety training?</t>
  </si>
  <si>
    <t>Are  you aware of how to safely jump start a car battery?</t>
  </si>
  <si>
    <t>Do you switch               on your brain                    at work?</t>
  </si>
  <si>
    <t>PIC</t>
  </si>
  <si>
    <t>Halloween</t>
  </si>
  <si>
    <t>Don't overload electrical circuits.</t>
  </si>
  <si>
    <t>Open/Closing?             Be alert to your surroundings.</t>
  </si>
  <si>
    <t xml:space="preserve">Are you prepared                 to take care of               icy walk ways?  </t>
  </si>
  <si>
    <t>Always store pallet jacks safely.</t>
  </si>
  <si>
    <t>Meeting Topics:         1. Ladder Safety    2.Slip Trip Fall</t>
  </si>
  <si>
    <t xml:space="preserve">Monitor too dim                or bright?  Adjust                        your contrast for                  easier viewing. </t>
  </si>
  <si>
    <t xml:space="preserve">Make sure               entrance mats                 flat on the floor.  </t>
  </si>
  <si>
    <t xml:space="preserve">Too Heavy?                      Find the proper tool to help you with the lift. </t>
  </si>
  <si>
    <t>It is a great time for a safety inspection.  Where is your checklist?</t>
  </si>
  <si>
    <t>Daylight Savings Ends</t>
  </si>
  <si>
    <t xml:space="preserve">Maintain balance - Don't let your belt buckle go beyond the ladder rails.  </t>
  </si>
  <si>
    <t>Overhead lifting causes shoulder overexertion.  Find ways to work at chest level.</t>
  </si>
  <si>
    <t>One ladder                      one person.</t>
  </si>
  <si>
    <t>Make sure extension cords are properly rated for the task.</t>
  </si>
  <si>
    <t>Veteran's Day</t>
  </si>
  <si>
    <t>Safety involves everyone.  Are you doing your part?</t>
  </si>
  <si>
    <t>Ladders with handrails will assist your aging workers balance.</t>
  </si>
  <si>
    <t>Be careful when using flammable chemicals around hot areas.</t>
  </si>
  <si>
    <t>A spill, a slip,                could become                       a hospital trip!</t>
  </si>
  <si>
    <t>Make sure your ladder is tall enough for the task. Don't use the top two steps.</t>
  </si>
  <si>
    <t>Don't learn safety                 by accident!!</t>
  </si>
  <si>
    <t xml:space="preserve">Use Z87+ shatter resistant lenses to protect your eyes.  </t>
  </si>
  <si>
    <t>Use handrails when on stairs!</t>
  </si>
  <si>
    <t>Prevent slips                       by cleaning                     up spills quickly!</t>
  </si>
  <si>
    <t xml:space="preserve">Your job provides a paycheck, but your safety allows you to go home. </t>
  </si>
  <si>
    <t>Focus on where you are walking so that you don't slip or trip!</t>
  </si>
  <si>
    <t>Are you prepared                         for potential                    power outages?</t>
  </si>
  <si>
    <t>Electrical panels need a 3 foot clearance around them.</t>
  </si>
  <si>
    <t>Make sure you have three contact points when using a ladder.</t>
  </si>
  <si>
    <t>When was your last safety meeting?</t>
  </si>
  <si>
    <t>What is your Distracted Driving Policy?</t>
  </si>
  <si>
    <r>
      <t xml:space="preserve">Have you tried </t>
    </r>
    <r>
      <rPr>
        <b/>
        <sz val="11"/>
        <color rgb="FFC00000"/>
        <rFont val="Calibri"/>
        <family val="2"/>
      </rPr>
      <t>SAFE</t>
    </r>
    <r>
      <rPr>
        <b/>
        <sz val="11"/>
        <rFont val="Calibri"/>
        <family val="2"/>
      </rPr>
      <t>ME</t>
    </r>
    <r>
      <rPr>
        <sz val="11"/>
        <rFont val="Calibri"/>
        <family val="2"/>
      </rPr>
      <t>?   www.wrasafeme.org</t>
    </r>
  </si>
  <si>
    <t xml:space="preserve">Meeting Topics:      1.Open/Close Safety                                   2. Fire Safety </t>
  </si>
  <si>
    <t>Less daylight means extra awareness when opening or closing the store!</t>
  </si>
  <si>
    <t>Is there 18" clearance from sprinkler heads?</t>
  </si>
  <si>
    <t>Check entrance mats to make sure they are in good shape.</t>
  </si>
  <si>
    <t>Are you prepared              for snow &amp; ice?</t>
  </si>
  <si>
    <t>Working safely                       may get old,                          but so do those                        who practice it!</t>
  </si>
  <si>
    <t>Lift in your power zone - waist height and close to you.</t>
  </si>
  <si>
    <t xml:space="preserve">Use tools correctly - Lacerations by box cutters are common in retail. </t>
  </si>
  <si>
    <t>Review First Aid kits to make sure they are adequately stocked.</t>
  </si>
  <si>
    <t>Hands are a wonderful tool-  using gloves will make them last longer.</t>
  </si>
  <si>
    <t>Work to be safe, be safe so you can work!</t>
  </si>
  <si>
    <t>Keep stock rooms neat and orderly!</t>
  </si>
  <si>
    <t>SDS - Health Hazard</t>
  </si>
  <si>
    <t>Use ladders carefully!  Most falls happen on the way down.</t>
  </si>
  <si>
    <t>Remember P.A.S.S.                         P-Pull                                     A-Aim                                            S-Squeeze                                        S-Sweep</t>
  </si>
  <si>
    <t xml:space="preserve">Open/Close Safety - Develop a call                            in system if                     working alone. </t>
  </si>
  <si>
    <t xml:space="preserve">Using power tools?  Use both hands when operating. </t>
  </si>
  <si>
    <t>What is your cell phone use while driving policy?</t>
  </si>
  <si>
    <t>Always done it                      that way might                          not be the                             right way!</t>
  </si>
  <si>
    <t>Customers with strange behavior need extra caution.</t>
  </si>
  <si>
    <t>Bad wires                    can start fires!</t>
  </si>
  <si>
    <t>Safety never                        takes a holiday.</t>
  </si>
  <si>
    <t xml:space="preserve">Don't twist at the waist, move your feet instead. </t>
  </si>
  <si>
    <t>Use the buddy system when opening and closing the shop.</t>
  </si>
  <si>
    <t>Stetch or warm up before lifting objects or strenuous activity.</t>
  </si>
  <si>
    <t>Are you prepared                  to act in case of an emergency?  Practice situations.</t>
  </si>
  <si>
    <t>Friends don't let friends drive drunk.</t>
  </si>
  <si>
    <r>
      <t xml:space="preserve">Have yopu seen the </t>
    </r>
    <r>
      <rPr>
        <b/>
        <sz val="12"/>
        <color rgb="FFC00000"/>
        <rFont val="Calibri"/>
        <family val="2"/>
      </rPr>
      <t>SAFE</t>
    </r>
    <r>
      <rPr>
        <b/>
        <sz val="12"/>
        <rFont val="Calibri"/>
        <family val="2"/>
      </rPr>
      <t xml:space="preserve">ME </t>
    </r>
    <r>
      <rPr>
        <sz val="12"/>
        <rFont val="Calibri"/>
        <family val="2"/>
      </rPr>
      <t>safety app?  It is free and easy to use!</t>
    </r>
  </si>
  <si>
    <t>How is your                            safety attitude?</t>
  </si>
  <si>
    <t>For each month</t>
  </si>
  <si>
    <t>Several boxes need to reflect this months topics</t>
  </si>
  <si>
    <t xml:space="preserve">also need to have something </t>
  </si>
  <si>
    <t>distracted driving</t>
  </si>
  <si>
    <t>lifting</t>
  </si>
  <si>
    <t>slip trip</t>
  </si>
  <si>
    <t>PPE</t>
  </si>
  <si>
    <t>Auto item</t>
  </si>
  <si>
    <t>Safety culture</t>
  </si>
  <si>
    <t>Inspection/checklist</t>
  </si>
  <si>
    <t>overexertion</t>
  </si>
  <si>
    <t xml:space="preserve">ergo </t>
  </si>
  <si>
    <t>When is you next Safety Meeting?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</si>
</sst>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5" formatCode="mmmm\ yyyy"/>
    <numFmt numFmtId="166" formatCode="mmmm"/>
  </numFmts>
  <fonts count="32" x14ac:knownFonts="1">
    <font>
      <sz val="12"/>
      <color theme="1"/>
      <name val="Cambria"/>
      <family val="2"/>
      <scheme val="minor"/>
    </font>
    <font>
      <sz val="12"/>
      <color theme="1"/>
      <name val="Calibri"/>
      <family val="2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11"/>
      <name val="Calibri"/>
      <family val="2"/>
    </font>
    <font>
      <sz val="10"/>
      <name val="Calibri"/>
      <family val="2"/>
    </font>
    <font>
      <sz val="12"/>
      <name val="Calibri"/>
      <family val="2"/>
    </font>
    <font>
      <sz val="24"/>
      <name val="Calibri"/>
      <family val="2"/>
    </font>
    <font>
      <sz val="40"/>
      <name val="Calibri"/>
      <family val="2"/>
    </font>
    <font>
      <b/>
      <sz val="9"/>
      <name val="Calibri"/>
      <family val="2"/>
    </font>
    <font>
      <sz val="28"/>
      <name val="Calibri"/>
      <family val="2"/>
    </font>
    <font>
      <u/>
      <sz val="12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4"/>
      <name val="Calibri"/>
      <family val="2"/>
    </font>
    <font>
      <sz val="11.5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0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1020D0"/>
      <name val="Arial"/>
      <family val="2"/>
    </font>
    <font>
      <u/>
      <sz val="12"/>
      <color rgb="FFC00000"/>
      <name val="Cambria"/>
      <family val="2"/>
      <scheme val="minor"/>
    </font>
    <font>
      <b/>
      <sz val="11"/>
      <color rgb="FFC00000"/>
      <name val="Calibri"/>
      <family val="2"/>
    </font>
    <font>
      <b/>
      <sz val="12"/>
      <color rgb="FFC00000"/>
      <name val="Calibri"/>
      <family val="2"/>
    </font>
    <font>
      <b/>
      <sz val="12"/>
      <color theme="1"/>
      <name val="Cambria"/>
      <family val="1"/>
      <scheme val="minor"/>
    </font>
    <font>
      <u/>
      <sz val="12"/>
      <color rgb="FFC00000"/>
      <name val="Calibri"/>
      <family val="2"/>
    </font>
    <font>
      <b/>
      <sz val="12"/>
      <color rgb="FF000000"/>
      <name val="Calibri"/>
    </font>
    <font>
      <b/>
      <sz val="12"/>
      <color rgb="FF000000"/>
      <name val="Calibri"/>
      <charset val="1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1E4EF"/>
        <bgColor indexed="64"/>
      </patternFill>
    </fill>
  </fills>
  <borders count="6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medium">
        <color indexed="64"/>
      </left>
      <right style="thin">
        <color theme="8"/>
      </right>
      <top/>
      <bottom style="thin">
        <color theme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8"/>
      </top>
      <bottom style="thin">
        <color theme="8"/>
      </bottom>
      <diagonal/>
    </border>
    <border>
      <left/>
      <right style="medium">
        <color indexed="64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theme="8"/>
      </left>
      <right style="medium">
        <color indexed="64"/>
      </right>
      <top/>
      <bottom style="thin">
        <color theme="8"/>
      </bottom>
      <diagonal/>
    </border>
    <border>
      <left style="medium">
        <color indexed="64"/>
      </left>
      <right style="thin">
        <color theme="8"/>
      </right>
      <top/>
      <bottom/>
      <diagonal/>
    </border>
    <border>
      <left style="thin">
        <color theme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8"/>
      </right>
      <top/>
      <bottom style="medium">
        <color indexed="64"/>
      </bottom>
      <diagonal/>
    </border>
    <border>
      <left style="thin">
        <color theme="8"/>
      </left>
      <right style="thin">
        <color theme="8"/>
      </right>
      <top/>
      <bottom style="medium">
        <color indexed="64"/>
      </bottom>
      <diagonal/>
    </border>
    <border>
      <left style="thin">
        <color theme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/>
      <right style="thin">
        <color theme="8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/>
      <bottom/>
      <diagonal/>
    </border>
    <border>
      <left style="medium">
        <color indexed="64"/>
      </left>
      <right/>
      <top style="thin">
        <color theme="8"/>
      </top>
      <bottom/>
      <diagonal/>
    </border>
    <border>
      <left/>
      <right style="medium">
        <color indexed="64"/>
      </right>
      <top style="thin">
        <color theme="8"/>
      </top>
      <bottom/>
      <diagonal/>
    </border>
    <border>
      <left style="medium">
        <color indexed="64"/>
      </left>
      <right/>
      <top/>
      <bottom style="thin">
        <color theme="8"/>
      </bottom>
      <diagonal/>
    </border>
    <border>
      <left style="thin">
        <color theme="8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8"/>
      </left>
      <right style="thin">
        <color theme="8"/>
      </right>
      <top/>
      <bottom style="thin">
        <color indexed="64"/>
      </bottom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8"/>
      </bottom>
      <diagonal/>
    </border>
    <border>
      <left style="medium">
        <color indexed="64"/>
      </left>
      <right style="thin">
        <color theme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theme="8"/>
      </right>
      <top/>
      <bottom/>
      <diagonal/>
    </border>
    <border>
      <left/>
      <right style="thin">
        <color rgb="FF000000"/>
      </right>
      <top/>
      <bottom style="thin">
        <color theme="8"/>
      </bottom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8"/>
      </right>
      <top/>
      <bottom style="thin">
        <color indexed="64"/>
      </bottom>
      <diagonal/>
    </border>
    <border>
      <left style="thin">
        <color theme="8"/>
      </left>
      <right style="thin">
        <color indexed="64"/>
      </right>
      <top/>
      <bottom style="thin">
        <color theme="8"/>
      </bottom>
      <diagonal/>
    </border>
    <border>
      <left style="thin">
        <color indexed="64"/>
      </left>
      <right style="medium">
        <color indexed="64"/>
      </right>
      <top/>
      <bottom style="thin">
        <color theme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8"/>
      </right>
      <top/>
      <bottom style="thin">
        <color theme="8"/>
      </bottom>
      <diagonal/>
    </border>
  </borders>
  <cellStyleXfs count="6">
    <xf numFmtId="0" fontId="0" fillId="0" borderId="0"/>
    <xf numFmtId="0" fontId="3" fillId="0" borderId="0"/>
    <xf numFmtId="0" fontId="2" fillId="2" borderId="1" applyNumberFormat="0" applyAlignment="0" applyProtection="0"/>
    <xf numFmtId="0" fontId="4" fillId="3" borderId="0" applyNumberFormat="0" applyBorder="0" applyAlignment="0" applyProtection="0"/>
    <xf numFmtId="0" fontId="5" fillId="0" borderId="0" applyNumberFormat="0" applyFill="0" applyAlignment="0" applyProtection="0"/>
    <xf numFmtId="0" fontId="6" fillId="0" borderId="0" applyNumberFormat="0" applyFill="0" applyBorder="0" applyAlignment="0" applyProtection="0"/>
  </cellStyleXfs>
  <cellXfs count="228">
    <xf numFmtId="0" fontId="0" fillId="0" borderId="0" xfId="0"/>
    <xf numFmtId="166" fontId="13" fillId="0" borderId="0" xfId="0" applyNumberFormat="1" applyFont="1" applyAlignment="1">
      <alignment vertical="center" textRotation="90"/>
    </xf>
    <xf numFmtId="164" fontId="7" fillId="0" borderId="4" xfId="1" applyNumberFormat="1" applyFont="1" applyBorder="1" applyAlignment="1">
      <alignment horizontal="left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3" xfId="3" applyFont="1" applyFill="1" applyBorder="1" applyAlignment="1">
      <alignment horizontal="center" vertical="top" wrapText="1"/>
    </xf>
    <xf numFmtId="164" fontId="7" fillId="0" borderId="5" xfId="1" applyNumberFormat="1" applyFont="1" applyBorder="1" applyAlignment="1">
      <alignment horizontal="left" vertical="top" wrapText="1"/>
    </xf>
    <xf numFmtId="0" fontId="9" fillId="0" borderId="0" xfId="0" applyFont="1"/>
    <xf numFmtId="0" fontId="7" fillId="0" borderId="0" xfId="1" applyFont="1"/>
    <xf numFmtId="0" fontId="10" fillId="0" borderId="0" xfId="0" applyFont="1" applyAlignment="1">
      <alignment horizontal="center" vertical="center"/>
    </xf>
    <xf numFmtId="166" fontId="9" fillId="0" borderId="0" xfId="0" applyNumberFormat="1" applyFont="1"/>
    <xf numFmtId="0" fontId="8" fillId="0" borderId="0" xfId="1" applyFont="1"/>
    <xf numFmtId="0" fontId="7" fillId="0" borderId="0" xfId="1" applyFont="1" applyAlignment="1">
      <alignment horizontal="right"/>
    </xf>
    <xf numFmtId="0" fontId="7" fillId="0" borderId="0" xfId="1" applyFont="1" applyAlignment="1">
      <alignment horizontal="center"/>
    </xf>
    <xf numFmtId="0" fontId="14" fillId="0" borderId="0" xfId="5" applyFont="1"/>
    <xf numFmtId="0" fontId="12" fillId="4" borderId="2" xfId="2" applyFont="1" applyFill="1" applyBorder="1" applyAlignment="1">
      <alignment horizontal="center" vertical="center"/>
    </xf>
    <xf numFmtId="0" fontId="12" fillId="5" borderId="2" xfId="2" applyFont="1" applyFill="1" applyBorder="1" applyAlignment="1">
      <alignment horizontal="center" vertical="center"/>
    </xf>
    <xf numFmtId="0" fontId="12" fillId="7" borderId="2" xfId="2" applyFont="1" applyFill="1" applyBorder="1" applyAlignment="1">
      <alignment horizontal="center" vertical="center"/>
    </xf>
    <xf numFmtId="0" fontId="12" fillId="8" borderId="2" xfId="2" applyFont="1" applyFill="1" applyBorder="1" applyAlignment="1">
      <alignment horizontal="center" vertical="center"/>
    </xf>
    <xf numFmtId="164" fontId="7" fillId="0" borderId="12" xfId="1" applyNumberFormat="1" applyFont="1" applyBorder="1" applyAlignment="1">
      <alignment horizontal="left" vertical="top" wrapText="1"/>
    </xf>
    <xf numFmtId="164" fontId="7" fillId="0" borderId="13" xfId="1" applyNumberFormat="1" applyFont="1" applyBorder="1" applyAlignment="1">
      <alignment horizontal="left" vertical="top" wrapText="1"/>
    </xf>
    <xf numFmtId="164" fontId="7" fillId="0" borderId="16" xfId="1" applyNumberFormat="1" applyFont="1" applyBorder="1" applyAlignment="1">
      <alignment horizontal="left" vertical="top" wrapText="1"/>
    </xf>
    <xf numFmtId="164" fontId="7" fillId="0" borderId="17" xfId="1" applyNumberFormat="1" applyFont="1" applyBorder="1" applyAlignment="1">
      <alignment horizontal="left" vertical="top" wrapText="1"/>
    </xf>
    <xf numFmtId="0" fontId="7" fillId="0" borderId="8" xfId="1" applyFont="1" applyBorder="1"/>
    <xf numFmtId="0" fontId="7" fillId="0" borderId="9" xfId="1" applyFont="1" applyBorder="1"/>
    <xf numFmtId="0" fontId="8" fillId="0" borderId="15" xfId="3" applyFont="1" applyFill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7" fillId="0" borderId="7" xfId="1" applyFont="1" applyBorder="1"/>
    <xf numFmtId="0" fontId="12" fillId="8" borderId="10" xfId="2" applyFont="1" applyFill="1" applyBorder="1" applyAlignment="1">
      <alignment horizontal="center" vertical="center"/>
    </xf>
    <xf numFmtId="0" fontId="12" fillId="8" borderId="11" xfId="2" applyFont="1" applyFill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8" fillId="0" borderId="19" xfId="1" applyFont="1" applyBorder="1" applyAlignment="1">
      <alignment horizontal="center" vertical="top" wrapText="1"/>
    </xf>
    <xf numFmtId="0" fontId="8" fillId="0" borderId="20" xfId="3" applyFont="1" applyFill="1" applyBorder="1" applyAlignment="1">
      <alignment horizontal="center" vertical="top" wrapText="1"/>
    </xf>
    <xf numFmtId="0" fontId="12" fillId="7" borderId="10" xfId="2" applyFont="1" applyFill="1" applyBorder="1" applyAlignment="1">
      <alignment horizontal="center" vertical="center"/>
    </xf>
    <xf numFmtId="0" fontId="12" fillId="7" borderId="11" xfId="2" applyFont="1" applyFill="1" applyBorder="1" applyAlignment="1">
      <alignment horizontal="center" vertical="center"/>
    </xf>
    <xf numFmtId="0" fontId="12" fillId="4" borderId="10" xfId="2" applyFont="1" applyFill="1" applyBorder="1" applyAlignment="1">
      <alignment horizontal="center" vertical="center"/>
    </xf>
    <xf numFmtId="0" fontId="12" fillId="4" borderId="11" xfId="2" applyFont="1" applyFill="1" applyBorder="1" applyAlignment="1">
      <alignment horizontal="center" vertical="center"/>
    </xf>
    <xf numFmtId="0" fontId="12" fillId="5" borderId="10" xfId="2" applyFont="1" applyFill="1" applyBorder="1" applyAlignment="1">
      <alignment horizontal="center" vertical="center"/>
    </xf>
    <xf numFmtId="0" fontId="12" fillId="5" borderId="11" xfId="2" applyFont="1" applyFill="1" applyBorder="1" applyAlignment="1">
      <alignment horizontal="center" vertical="center"/>
    </xf>
    <xf numFmtId="0" fontId="15" fillId="0" borderId="0" xfId="1" applyFont="1"/>
    <xf numFmtId="0" fontId="12" fillId="10" borderId="0" xfId="2" applyFont="1" applyFill="1" applyBorder="1" applyAlignment="1">
      <alignment horizontal="center" vertical="center"/>
    </xf>
    <xf numFmtId="164" fontId="7" fillId="0" borderId="0" xfId="1" applyNumberFormat="1" applyFont="1" applyAlignment="1">
      <alignment horizontal="left" vertical="top" wrapText="1"/>
    </xf>
    <xf numFmtId="0" fontId="12" fillId="10" borderId="21" xfId="2" applyFont="1" applyFill="1" applyBorder="1" applyAlignment="1">
      <alignment horizontal="center" vertical="center"/>
    </xf>
    <xf numFmtId="0" fontId="12" fillId="10" borderId="14" xfId="2" applyFont="1" applyFill="1" applyBorder="1" applyAlignment="1">
      <alignment horizontal="center" vertical="center"/>
    </xf>
    <xf numFmtId="166" fontId="9" fillId="0" borderId="0" xfId="0" applyNumberFormat="1" applyFont="1" applyAlignment="1">
      <alignment vertical="center" textRotation="90" wrapText="1"/>
    </xf>
    <xf numFmtId="0" fontId="16" fillId="0" borderId="6" xfId="1" applyFont="1" applyBorder="1" applyAlignment="1">
      <alignment horizontal="center" vertical="top" wrapText="1"/>
    </xf>
    <xf numFmtId="0" fontId="16" fillId="0" borderId="6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top" wrapText="1"/>
    </xf>
    <xf numFmtId="0" fontId="16" fillId="0" borderId="3" xfId="1" applyFont="1" applyBorder="1" applyAlignment="1">
      <alignment horizontal="center" vertical="top" wrapText="1"/>
    </xf>
    <xf numFmtId="0" fontId="9" fillId="0" borderId="3" xfId="3" applyFont="1" applyFill="1" applyBorder="1" applyAlignment="1">
      <alignment horizontal="center" vertical="top" wrapText="1"/>
    </xf>
    <xf numFmtId="0" fontId="9" fillId="0" borderId="15" xfId="3" applyFont="1" applyFill="1" applyBorder="1" applyAlignment="1">
      <alignment horizontal="center" vertical="top" wrapText="1"/>
    </xf>
    <xf numFmtId="0" fontId="18" fillId="0" borderId="3" xfId="1" applyFont="1" applyBorder="1" applyAlignment="1">
      <alignment horizontal="center" vertical="top" wrapText="1"/>
    </xf>
    <xf numFmtId="0" fontId="7" fillId="0" borderId="24" xfId="1" applyFont="1" applyBorder="1" applyAlignment="1">
      <alignment horizontal="center" vertical="top" wrapText="1"/>
    </xf>
    <xf numFmtId="0" fontId="7" fillId="0" borderId="25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top" wrapText="1"/>
    </xf>
    <xf numFmtId="0" fontId="7" fillId="0" borderId="18" xfId="1" applyFont="1" applyBorder="1"/>
    <xf numFmtId="0" fontId="9" fillId="0" borderId="6" xfId="1" applyFont="1" applyBorder="1" applyAlignment="1">
      <alignment horizontal="center" vertical="top" wrapText="1"/>
    </xf>
    <xf numFmtId="0" fontId="9" fillId="0" borderId="25" xfId="1" applyFont="1" applyBorder="1" applyAlignment="1">
      <alignment horizontal="center" vertical="top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9" fillId="0" borderId="0" xfId="0" applyFont="1" applyAlignment="1">
      <alignment vertical="top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7" fillId="0" borderId="0" xfId="1" applyFont="1" applyAlignment="1">
      <alignment horizontal="center" vertical="top"/>
    </xf>
    <xf numFmtId="0" fontId="21" fillId="0" borderId="0" xfId="0" applyFont="1"/>
    <xf numFmtId="0" fontId="19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9" fillId="0" borderId="15" xfId="1" applyFont="1" applyBorder="1" applyAlignment="1">
      <alignment horizontal="center" vertical="top" wrapText="1"/>
    </xf>
    <xf numFmtId="0" fontId="9" fillId="0" borderId="22" xfId="1" applyFont="1" applyBorder="1" applyAlignment="1">
      <alignment horizontal="center" vertical="top" wrapText="1"/>
    </xf>
    <xf numFmtId="0" fontId="9" fillId="0" borderId="18" xfId="1" applyFont="1" applyBorder="1" applyAlignment="1">
      <alignment horizontal="center" vertical="top" wrapText="1"/>
    </xf>
    <xf numFmtId="0" fontId="1" fillId="0" borderId="0" xfId="0" applyFont="1"/>
    <xf numFmtId="0" fontId="7" fillId="0" borderId="19" xfId="1" applyFont="1" applyBorder="1"/>
    <xf numFmtId="0" fontId="17" fillId="0" borderId="9" xfId="1" applyFont="1" applyBorder="1"/>
    <xf numFmtId="0" fontId="9" fillId="0" borderId="0" xfId="1" applyFont="1" applyAlignment="1">
      <alignment horizontal="center" vertical="top" wrapText="1"/>
    </xf>
    <xf numFmtId="0" fontId="7" fillId="0" borderId="22" xfId="1" applyFont="1" applyBorder="1"/>
    <xf numFmtId="0" fontId="7" fillId="0" borderId="3" xfId="1" applyFont="1" applyBorder="1" applyAlignment="1">
      <alignment horizontal="center" vertical="top" wrapText="1"/>
    </xf>
    <xf numFmtId="0" fontId="24" fillId="0" borderId="0" xfId="0" applyFont="1"/>
    <xf numFmtId="0" fontId="0" fillId="0" borderId="22" xfId="0" applyBorder="1"/>
    <xf numFmtId="0" fontId="15" fillId="0" borderId="0" xfId="1" applyFont="1" applyAlignment="1">
      <alignment horizontal="left"/>
    </xf>
    <xf numFmtId="0" fontId="16" fillId="0" borderId="0" xfId="1" applyFont="1" applyAlignment="1">
      <alignment horizontal="center" vertical="center" wrapText="1"/>
    </xf>
    <xf numFmtId="0" fontId="8" fillId="0" borderId="20" xfId="1" applyFont="1" applyBorder="1" applyAlignment="1">
      <alignment horizontal="center" vertical="top" wrapText="1"/>
    </xf>
    <xf numFmtId="0" fontId="9" fillId="0" borderId="0" xfId="3" applyFont="1" applyFill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164" fontId="7" fillId="0" borderId="28" xfId="1" applyNumberFormat="1" applyFont="1" applyBorder="1" applyAlignment="1">
      <alignment horizontal="left" vertical="top" wrapText="1"/>
    </xf>
    <xf numFmtId="0" fontId="16" fillId="0" borderId="29" xfId="1" applyFont="1" applyBorder="1" applyAlignment="1">
      <alignment horizontal="center" vertical="top" wrapText="1"/>
    </xf>
    <xf numFmtId="0" fontId="9" fillId="0" borderId="29" xfId="1" applyFont="1" applyBorder="1" applyAlignment="1">
      <alignment horizontal="center" vertical="top" wrapText="1"/>
    </xf>
    <xf numFmtId="0" fontId="9" fillId="0" borderId="29" xfId="3" applyFont="1" applyFill="1" applyBorder="1" applyAlignment="1">
      <alignment horizontal="center" vertical="top" wrapText="1"/>
    </xf>
    <xf numFmtId="0" fontId="16" fillId="0" borderId="29" xfId="1" applyFont="1" applyBorder="1" applyAlignment="1">
      <alignment horizontal="center" vertical="center" wrapText="1"/>
    </xf>
    <xf numFmtId="0" fontId="8" fillId="0" borderId="29" xfId="3" applyFont="1" applyFill="1" applyBorder="1" applyAlignment="1">
      <alignment horizontal="center" vertical="top" wrapText="1"/>
    </xf>
    <xf numFmtId="0" fontId="9" fillId="0" borderId="16" xfId="1" applyFont="1" applyBorder="1" applyAlignment="1">
      <alignment horizontal="center" vertical="top" wrapText="1"/>
    </xf>
    <xf numFmtId="164" fontId="7" fillId="0" borderId="30" xfId="1" applyNumberFormat="1" applyFont="1" applyBorder="1" applyAlignment="1">
      <alignment horizontal="left" vertical="top" wrapText="1"/>
    </xf>
    <xf numFmtId="164" fontId="7" fillId="0" borderId="31" xfId="1" applyNumberFormat="1" applyFont="1" applyBorder="1" applyAlignment="1">
      <alignment horizontal="left" vertical="top" wrapText="1"/>
    </xf>
    <xf numFmtId="0" fontId="9" fillId="0" borderId="24" xfId="1" applyFont="1" applyBorder="1" applyAlignment="1">
      <alignment horizontal="center" vertical="top" wrapText="1"/>
    </xf>
    <xf numFmtId="0" fontId="8" fillId="0" borderId="29" xfId="1" applyFont="1" applyBorder="1" applyAlignment="1">
      <alignment horizontal="center" vertical="top" wrapText="1"/>
    </xf>
    <xf numFmtId="0" fontId="12" fillId="6" borderId="32" xfId="2" applyFont="1" applyFill="1" applyBorder="1" applyAlignment="1">
      <alignment horizontal="center" vertical="center"/>
    </xf>
    <xf numFmtId="0" fontId="12" fillId="6" borderId="28" xfId="2" applyFont="1" applyFill="1" applyBorder="1" applyAlignment="1">
      <alignment horizontal="center" vertical="center"/>
    </xf>
    <xf numFmtId="0" fontId="12" fillId="6" borderId="33" xfId="2" applyFont="1" applyFill="1" applyBorder="1" applyAlignment="1">
      <alignment horizontal="center" vertical="center"/>
    </xf>
    <xf numFmtId="0" fontId="18" fillId="0" borderId="5" xfId="1" applyFont="1" applyBorder="1" applyAlignment="1">
      <alignment horizontal="center" vertical="top" wrapText="1"/>
    </xf>
    <xf numFmtId="0" fontId="7" fillId="0" borderId="0" xfId="1" applyFont="1" applyAlignment="1">
      <alignment horizontal="center" vertical="top" wrapText="1"/>
    </xf>
    <xf numFmtId="0" fontId="9" fillId="0" borderId="17" xfId="1" applyFont="1" applyBorder="1" applyAlignment="1">
      <alignment horizontal="center" vertical="top" wrapText="1"/>
    </xf>
    <xf numFmtId="0" fontId="18" fillId="0" borderId="29" xfId="1" applyFont="1" applyBorder="1" applyAlignment="1">
      <alignment horizontal="center" vertical="top" wrapText="1"/>
    </xf>
    <xf numFmtId="0" fontId="9" fillId="0" borderId="21" xfId="1" applyFont="1" applyBorder="1" applyAlignment="1">
      <alignment horizontal="center" vertical="top" wrapText="1"/>
    </xf>
    <xf numFmtId="0" fontId="9" fillId="0" borderId="22" xfId="3" applyFont="1" applyFill="1" applyBorder="1" applyAlignment="1">
      <alignment horizontal="center" vertical="top" wrapText="1"/>
    </xf>
    <xf numFmtId="0" fontId="7" fillId="0" borderId="16" xfId="1" applyFont="1" applyBorder="1"/>
    <xf numFmtId="0" fontId="12" fillId="4" borderId="32" xfId="2" applyFont="1" applyFill="1" applyBorder="1" applyAlignment="1">
      <alignment horizontal="center" vertical="center"/>
    </xf>
    <xf numFmtId="0" fontId="12" fillId="4" borderId="28" xfId="2" applyFont="1" applyFill="1" applyBorder="1" applyAlignment="1">
      <alignment horizontal="center" vertical="center"/>
    </xf>
    <xf numFmtId="0" fontId="12" fillId="4" borderId="33" xfId="2" applyFont="1" applyFill="1" applyBorder="1" applyAlignment="1">
      <alignment horizontal="center" vertical="center"/>
    </xf>
    <xf numFmtId="0" fontId="8" fillId="0" borderId="6" xfId="1" applyFont="1" applyBorder="1"/>
    <xf numFmtId="0" fontId="8" fillId="0" borderId="22" xfId="1" applyFont="1" applyBorder="1" applyAlignment="1">
      <alignment horizontal="center" vertical="top" wrapText="1"/>
    </xf>
    <xf numFmtId="0" fontId="9" fillId="0" borderId="20" xfId="1" applyFont="1" applyBorder="1" applyAlignment="1">
      <alignment horizontal="center" vertical="top" wrapText="1"/>
    </xf>
    <xf numFmtId="164" fontId="9" fillId="0" borderId="28" xfId="1" applyNumberFormat="1" applyFont="1" applyBorder="1" applyAlignment="1">
      <alignment horizontal="left" vertical="top" wrapText="1"/>
    </xf>
    <xf numFmtId="0" fontId="12" fillId="7" borderId="32" xfId="2" applyFont="1" applyFill="1" applyBorder="1" applyAlignment="1">
      <alignment horizontal="center" vertical="center"/>
    </xf>
    <xf numFmtId="0" fontId="12" fillId="7" borderId="28" xfId="2" applyFont="1" applyFill="1" applyBorder="1" applyAlignment="1">
      <alignment horizontal="center" vertical="center"/>
    </xf>
    <xf numFmtId="0" fontId="12" fillId="7" borderId="33" xfId="2" applyFont="1" applyFill="1" applyBorder="1" applyAlignment="1">
      <alignment horizontal="center" vertical="center"/>
    </xf>
    <xf numFmtId="0" fontId="0" fillId="0" borderId="29" xfId="0" applyBorder="1"/>
    <xf numFmtId="0" fontId="8" fillId="0" borderId="16" xfId="1" applyFont="1" applyBorder="1" applyAlignment="1">
      <alignment horizontal="center" vertical="top" wrapText="1"/>
    </xf>
    <xf numFmtId="0" fontId="16" fillId="0" borderId="24" xfId="1" applyFont="1" applyBorder="1" applyAlignment="1">
      <alignment horizontal="center" vertical="top" wrapText="1"/>
    </xf>
    <xf numFmtId="0" fontId="18" fillId="0" borderId="29" xfId="3" applyFont="1" applyFill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6" fillId="0" borderId="3" xfId="5" applyBorder="1" applyAlignment="1">
      <alignment horizontal="center" vertical="top" wrapText="1"/>
    </xf>
    <xf numFmtId="0" fontId="9" fillId="0" borderId="35" xfId="3" applyFont="1" applyFill="1" applyBorder="1" applyAlignment="1">
      <alignment horizontal="center" vertical="top" wrapText="1"/>
    </xf>
    <xf numFmtId="166" fontId="13" fillId="0" borderId="21" xfId="0" applyNumberFormat="1" applyFont="1" applyBorder="1" applyAlignment="1">
      <alignment vertical="center" textRotation="90"/>
    </xf>
    <xf numFmtId="0" fontId="1" fillId="0" borderId="3" xfId="0" applyFont="1" applyBorder="1" applyAlignment="1">
      <alignment horizontal="center" vertical="top" wrapText="1"/>
    </xf>
    <xf numFmtId="0" fontId="7" fillId="0" borderId="36" xfId="1" applyFont="1" applyBorder="1"/>
    <xf numFmtId="0" fontId="8" fillId="0" borderId="37" xfId="1" applyFont="1" applyBorder="1"/>
    <xf numFmtId="0" fontId="9" fillId="0" borderId="38" xfId="1" applyFont="1" applyBorder="1" applyAlignment="1">
      <alignment horizontal="center" vertical="top" wrapText="1"/>
    </xf>
    <xf numFmtId="0" fontId="9" fillId="0" borderId="19" xfId="1" applyFont="1" applyBorder="1" applyAlignment="1">
      <alignment horizontal="left" vertical="top" wrapText="1"/>
    </xf>
    <xf numFmtId="0" fontId="7" fillId="0" borderId="23" xfId="3" applyFont="1" applyFill="1" applyBorder="1" applyAlignment="1">
      <alignment horizontal="center" vertical="top" wrapText="1"/>
    </xf>
    <xf numFmtId="0" fontId="9" fillId="0" borderId="39" xfId="1" applyFont="1" applyBorder="1" applyAlignment="1">
      <alignment horizontal="center" vertical="top" wrapText="1"/>
    </xf>
    <xf numFmtId="0" fontId="7" fillId="0" borderId="23" xfId="1" applyFont="1" applyBorder="1"/>
    <xf numFmtId="0" fontId="6" fillId="0" borderId="5" xfId="5" applyBorder="1" applyAlignment="1">
      <alignment horizontal="center" vertical="top" wrapText="1"/>
    </xf>
    <xf numFmtId="0" fontId="6" fillId="0" borderId="3" xfId="5" applyFill="1" applyBorder="1" applyAlignment="1">
      <alignment horizontal="center" vertical="top" wrapText="1"/>
    </xf>
    <xf numFmtId="0" fontId="6" fillId="0" borderId="29" xfId="5" applyBorder="1" applyAlignment="1">
      <alignment horizontal="center" vertical="top" wrapText="1"/>
    </xf>
    <xf numFmtId="0" fontId="6" fillId="0" borderId="0" xfId="5" applyAlignment="1">
      <alignment horizontal="center" vertical="top" wrapText="1"/>
    </xf>
    <xf numFmtId="0" fontId="6" fillId="0" borderId="19" xfId="5" applyBorder="1" applyAlignment="1">
      <alignment horizontal="center" vertical="top" wrapText="1"/>
    </xf>
    <xf numFmtId="0" fontId="6" fillId="0" borderId="0" xfId="5" applyFill="1" applyAlignment="1">
      <alignment horizontal="center" vertical="top" wrapText="1"/>
    </xf>
    <xf numFmtId="0" fontId="6" fillId="0" borderId="29" xfId="5" applyFill="1" applyBorder="1" applyAlignment="1">
      <alignment horizontal="center" vertical="top" wrapText="1"/>
    </xf>
    <xf numFmtId="0" fontId="6" fillId="0" borderId="17" xfId="5" applyFill="1" applyBorder="1" applyAlignment="1">
      <alignment horizontal="center" vertical="top" wrapText="1"/>
    </xf>
    <xf numFmtId="0" fontId="7" fillId="0" borderId="40" xfId="1" applyFont="1" applyBorder="1"/>
    <xf numFmtId="0" fontId="6" fillId="0" borderId="24" xfId="5" applyFill="1" applyBorder="1" applyAlignment="1">
      <alignment horizontal="center" vertical="top" wrapText="1"/>
    </xf>
    <xf numFmtId="164" fontId="7" fillId="0" borderId="41" xfId="1" applyNumberFormat="1" applyFont="1" applyBorder="1" applyAlignment="1">
      <alignment horizontal="left" vertical="top" wrapText="1"/>
    </xf>
    <xf numFmtId="164" fontId="7" fillId="0" borderId="42" xfId="1" applyNumberFormat="1" applyFont="1" applyBorder="1" applyAlignment="1">
      <alignment horizontal="left" vertical="top" wrapText="1"/>
    </xf>
    <xf numFmtId="0" fontId="9" fillId="0" borderId="43" xfId="1" applyFont="1" applyBorder="1" applyAlignment="1">
      <alignment horizontal="center" vertical="top" wrapText="1"/>
    </xf>
    <xf numFmtId="164" fontId="7" fillId="0" borderId="44" xfId="1" applyNumberFormat="1" applyFont="1" applyBorder="1" applyAlignment="1">
      <alignment horizontal="left" vertical="top" wrapText="1"/>
    </xf>
    <xf numFmtId="164" fontId="7" fillId="0" borderId="45" xfId="1" applyNumberFormat="1" applyFont="1" applyBorder="1" applyAlignment="1">
      <alignment horizontal="left" vertical="top" wrapText="1"/>
    </xf>
    <xf numFmtId="0" fontId="9" fillId="0" borderId="0" xfId="3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9" fillId="0" borderId="0" xfId="1" applyFont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top" wrapText="1"/>
    </xf>
    <xf numFmtId="0" fontId="0" fillId="0" borderId="40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2" fillId="9" borderId="34" xfId="2" applyFont="1" applyFill="1" applyBorder="1" applyAlignment="1">
      <alignment horizontal="center" vertical="center"/>
    </xf>
    <xf numFmtId="0" fontId="12" fillId="9" borderId="29" xfId="2" applyFont="1" applyFill="1" applyBorder="1" applyAlignment="1">
      <alignment horizontal="center" vertical="center"/>
    </xf>
    <xf numFmtId="0" fontId="12" fillId="9" borderId="27" xfId="2" applyFont="1" applyFill="1" applyBorder="1" applyAlignment="1">
      <alignment horizontal="center" vertical="center"/>
    </xf>
    <xf numFmtId="0" fontId="7" fillId="0" borderId="47" xfId="1" applyFont="1" applyBorder="1"/>
    <xf numFmtId="0" fontId="7" fillId="0" borderId="48" xfId="1" applyFont="1" applyBorder="1"/>
    <xf numFmtId="0" fontId="9" fillId="0" borderId="23" xfId="3" applyFont="1" applyFill="1" applyBorder="1" applyAlignment="1">
      <alignment horizontal="center" vertical="top" wrapText="1"/>
    </xf>
    <xf numFmtId="0" fontId="20" fillId="0" borderId="22" xfId="0" applyFont="1" applyBorder="1" applyAlignment="1">
      <alignment horizontal="center" vertical="top" wrapText="1"/>
    </xf>
    <xf numFmtId="0" fontId="6" fillId="0" borderId="22" xfId="5" applyBorder="1" applyAlignment="1">
      <alignment horizontal="center" vertical="top" wrapText="1"/>
    </xf>
    <xf numFmtId="0" fontId="16" fillId="0" borderId="19" xfId="1" applyFont="1" applyBorder="1" applyAlignment="1">
      <alignment horizontal="center" vertical="top" wrapText="1"/>
    </xf>
    <xf numFmtId="0" fontId="9" fillId="0" borderId="50" xfId="1" applyFont="1" applyBorder="1" applyAlignment="1">
      <alignment horizontal="center" vertical="top" wrapText="1"/>
    </xf>
    <xf numFmtId="164" fontId="7" fillId="0" borderId="33" xfId="1" applyNumberFormat="1" applyFont="1" applyBorder="1" applyAlignment="1">
      <alignment horizontal="left" vertical="top" wrapText="1"/>
    </xf>
    <xf numFmtId="164" fontId="7" fillId="0" borderId="32" xfId="1" applyNumberFormat="1" applyFont="1" applyBorder="1" applyAlignment="1">
      <alignment horizontal="left" vertical="top" wrapText="1"/>
    </xf>
    <xf numFmtId="0" fontId="9" fillId="0" borderId="14" xfId="3" applyFont="1" applyFill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164" fontId="7" fillId="0" borderId="14" xfId="1" applyNumberFormat="1" applyFont="1" applyBorder="1" applyAlignment="1">
      <alignment horizontal="left" vertical="top" wrapText="1"/>
    </xf>
    <xf numFmtId="164" fontId="7" fillId="0" borderId="21" xfId="1" applyNumberFormat="1" applyFont="1" applyBorder="1" applyAlignment="1">
      <alignment horizontal="left" vertical="top" wrapText="1"/>
    </xf>
    <xf numFmtId="0" fontId="8" fillId="0" borderId="27" xfId="3" applyFont="1" applyFill="1" applyBorder="1" applyAlignment="1">
      <alignment horizontal="center" vertical="top" wrapText="1"/>
    </xf>
    <xf numFmtId="0" fontId="9" fillId="0" borderId="34" xfId="1" applyFont="1" applyBorder="1" applyAlignment="1">
      <alignment horizontal="center" vertical="top" wrapText="1"/>
    </xf>
    <xf numFmtId="0" fontId="6" fillId="0" borderId="5" xfId="5" applyFill="1" applyBorder="1" applyAlignment="1">
      <alignment horizontal="center" vertical="top" wrapText="1"/>
    </xf>
    <xf numFmtId="0" fontId="9" fillId="0" borderId="27" xfId="3" applyFont="1" applyFill="1" applyBorder="1" applyAlignment="1">
      <alignment horizontal="center" vertical="top" wrapText="1"/>
    </xf>
    <xf numFmtId="0" fontId="25" fillId="0" borderId="3" xfId="5" applyFont="1" applyBorder="1" applyAlignment="1">
      <alignment horizontal="center" vertical="top" wrapText="1"/>
    </xf>
    <xf numFmtId="0" fontId="8" fillId="0" borderId="34" xfId="1" applyFont="1" applyBorder="1"/>
    <xf numFmtId="0" fontId="9" fillId="0" borderId="5" xfId="1" applyFont="1" applyBorder="1" applyAlignment="1">
      <alignment horizontal="center" vertical="top" wrapText="1"/>
    </xf>
    <xf numFmtId="0" fontId="9" fillId="0" borderId="19" xfId="1" applyFont="1" applyBorder="1" applyAlignment="1">
      <alignment horizontal="center" vertical="top" wrapText="1"/>
    </xf>
    <xf numFmtId="0" fontId="9" fillId="0" borderId="19" xfId="3" applyFont="1" applyFill="1" applyBorder="1" applyAlignment="1">
      <alignment horizontal="center" vertical="top" wrapText="1"/>
    </xf>
    <xf numFmtId="0" fontId="9" fillId="0" borderId="17" xfId="3" applyFont="1" applyFill="1" applyBorder="1" applyAlignment="1">
      <alignment horizontal="center" vertical="top" wrapText="1"/>
    </xf>
    <xf numFmtId="0" fontId="9" fillId="0" borderId="20" xfId="3" applyFont="1" applyFill="1" applyBorder="1" applyAlignment="1">
      <alignment horizontal="center" vertical="top" wrapText="1"/>
    </xf>
    <xf numFmtId="0" fontId="15" fillId="0" borderId="51" xfId="1" applyFont="1" applyBorder="1" applyAlignment="1">
      <alignment horizontal="center" vertical="top"/>
    </xf>
    <xf numFmtId="0" fontId="9" fillId="0" borderId="52" xfId="1" applyFont="1" applyBorder="1" applyAlignment="1">
      <alignment horizontal="center" vertical="top" wrapText="1"/>
    </xf>
    <xf numFmtId="0" fontId="9" fillId="0" borderId="53" xfId="1" applyFont="1" applyBorder="1" applyAlignment="1">
      <alignment horizontal="center" vertical="top" wrapText="1"/>
    </xf>
    <xf numFmtId="0" fontId="8" fillId="0" borderId="54" xfId="1" applyFont="1" applyBorder="1"/>
    <xf numFmtId="0" fontId="8" fillId="0" borderId="55" xfId="1" applyFont="1" applyBorder="1"/>
    <xf numFmtId="0" fontId="9" fillId="0" borderId="15" xfId="3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 wrapText="1"/>
    </xf>
    <xf numFmtId="164" fontId="7" fillId="0" borderId="4" xfId="1" applyNumberFormat="1" applyFont="1" applyBorder="1" applyAlignment="1">
      <alignment horizontal="left" vertical="center" wrapText="1"/>
    </xf>
    <xf numFmtId="0" fontId="8" fillId="0" borderId="56" xfId="1" applyFont="1" applyBorder="1"/>
    <xf numFmtId="0" fontId="7" fillId="0" borderId="56" xfId="1" applyFont="1" applyBorder="1" applyAlignment="1">
      <alignment horizontal="center" vertical="center" wrapText="1"/>
    </xf>
    <xf numFmtId="0" fontId="25" fillId="0" borderId="22" xfId="5" applyFont="1" applyFill="1" applyBorder="1" applyAlignment="1">
      <alignment horizontal="center" vertical="top" wrapText="1"/>
    </xf>
    <xf numFmtId="0" fontId="25" fillId="0" borderId="3" xfId="5" applyFont="1" applyFill="1" applyBorder="1" applyAlignment="1">
      <alignment horizontal="center" vertical="top" wrapText="1"/>
    </xf>
    <xf numFmtId="0" fontId="25" fillId="0" borderId="3" xfId="5" applyFont="1" applyBorder="1" applyAlignment="1">
      <alignment horizontal="center" vertical="center" wrapText="1"/>
    </xf>
    <xf numFmtId="0" fontId="16" fillId="0" borderId="37" xfId="1" applyFont="1" applyBorder="1" applyAlignment="1">
      <alignment horizontal="center" vertical="top" wrapText="1"/>
    </xf>
    <xf numFmtId="0" fontId="9" fillId="0" borderId="57" xfId="1" applyFont="1" applyBorder="1" applyAlignment="1">
      <alignment horizontal="center" vertical="top" wrapText="1"/>
    </xf>
    <xf numFmtId="0" fontId="7" fillId="0" borderId="46" xfId="1" applyFont="1" applyBorder="1"/>
    <xf numFmtId="0" fontId="9" fillId="0" borderId="57" xfId="3" applyFont="1" applyFill="1" applyBorder="1" applyAlignment="1">
      <alignment horizontal="center" vertical="top" wrapText="1"/>
    </xf>
    <xf numFmtId="0" fontId="6" fillId="0" borderId="20" xfId="5" applyBorder="1" applyAlignment="1">
      <alignment horizontal="center" vertical="top" wrapText="1"/>
    </xf>
    <xf numFmtId="0" fontId="9" fillId="0" borderId="59" xfId="1" applyFont="1" applyBorder="1" applyAlignment="1">
      <alignment horizontal="center" vertical="top" wrapText="1"/>
    </xf>
    <xf numFmtId="0" fontId="28" fillId="0" borderId="39" xfId="0" applyFont="1" applyBorder="1" applyAlignment="1">
      <alignment horizontal="center" vertical="top"/>
    </xf>
    <xf numFmtId="0" fontId="16" fillId="0" borderId="15" xfId="1" applyFont="1" applyBorder="1" applyAlignment="1">
      <alignment horizontal="center" vertical="top" wrapText="1"/>
    </xf>
    <xf numFmtId="0" fontId="7" fillId="0" borderId="58" xfId="1" applyFont="1" applyBorder="1" applyAlignment="1">
      <alignment vertical="top" wrapText="1"/>
    </xf>
    <xf numFmtId="0" fontId="9" fillId="0" borderId="15" xfId="1" applyFont="1" applyBorder="1" applyAlignment="1">
      <alignment horizontal="center" vertical="center" wrapText="1"/>
    </xf>
    <xf numFmtId="0" fontId="9" fillId="0" borderId="29" xfId="3" applyFont="1" applyFill="1" applyBorder="1" applyAlignment="1">
      <alignment horizontal="center" vertical="center" wrapText="1"/>
    </xf>
    <xf numFmtId="0" fontId="29" fillId="0" borderId="22" xfId="5" applyFont="1" applyFill="1" applyBorder="1" applyAlignment="1">
      <alignment horizontal="center" vertical="top" wrapText="1"/>
    </xf>
    <xf numFmtId="0" fontId="31" fillId="0" borderId="0" xfId="0" applyFont="1"/>
    <xf numFmtId="0" fontId="30" fillId="0" borderId="21" xfId="1" applyFont="1" applyBorder="1" applyAlignment="1">
      <alignment horizontal="center" vertical="top" wrapText="1"/>
    </xf>
    <xf numFmtId="0" fontId="16" fillId="0" borderId="60" xfId="1" applyFont="1" applyBorder="1" applyAlignment="1">
      <alignment horizontal="center" vertical="top" wrapText="1"/>
    </xf>
    <xf numFmtId="165" fontId="11" fillId="0" borderId="7" xfId="1" applyNumberFormat="1" applyFont="1" applyBorder="1" applyAlignment="1">
      <alignment horizontal="left" vertical="center"/>
    </xf>
    <xf numFmtId="165" fontId="11" fillId="0" borderId="8" xfId="1" applyNumberFormat="1" applyFont="1" applyBorder="1" applyAlignment="1">
      <alignment horizontal="left" vertical="center"/>
    </xf>
    <xf numFmtId="0" fontId="15" fillId="0" borderId="8" xfId="1" applyFont="1" applyBorder="1" applyAlignment="1">
      <alignment horizontal="center"/>
    </xf>
    <xf numFmtId="165" fontId="11" fillId="0" borderId="49" xfId="1" applyNumberFormat="1" applyFont="1" applyBorder="1" applyAlignment="1">
      <alignment horizontal="left" vertical="center"/>
    </xf>
    <xf numFmtId="165" fontId="11" fillId="0" borderId="47" xfId="1" applyNumberFormat="1" applyFont="1" applyBorder="1" applyAlignment="1">
      <alignment horizontal="left" vertical="center"/>
    </xf>
    <xf numFmtId="0" fontId="9" fillId="0" borderId="5" xfId="1" applyFont="1" applyBorder="1" applyAlignment="1">
      <alignment horizontal="center" vertical="top" wrapText="1"/>
    </xf>
    <xf numFmtId="0" fontId="9" fillId="0" borderId="19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0" fontId="7" fillId="0" borderId="19" xfId="1" applyFont="1" applyBorder="1" applyAlignment="1">
      <alignment horizontal="center" vertical="top" wrapText="1"/>
    </xf>
    <xf numFmtId="0" fontId="9" fillId="0" borderId="5" xfId="3" applyFont="1" applyFill="1" applyBorder="1" applyAlignment="1">
      <alignment horizontal="center" vertical="top" wrapText="1"/>
    </xf>
    <xf numFmtId="0" fontId="9" fillId="0" borderId="19" xfId="3" applyFont="1" applyFill="1" applyBorder="1" applyAlignment="1">
      <alignment horizontal="center" vertical="top" wrapText="1"/>
    </xf>
    <xf numFmtId="0" fontId="9" fillId="0" borderId="17" xfId="3" applyFont="1" applyFill="1" applyBorder="1" applyAlignment="1">
      <alignment horizontal="center" vertical="top" wrapText="1"/>
    </xf>
    <xf numFmtId="0" fontId="9" fillId="0" borderId="20" xfId="3" applyFont="1" applyFill="1" applyBorder="1" applyAlignment="1">
      <alignment horizontal="center" vertical="top" wrapText="1"/>
    </xf>
    <xf numFmtId="164" fontId="15" fillId="0" borderId="8" xfId="1" applyNumberFormat="1" applyFont="1" applyBorder="1" applyAlignment="1">
      <alignment horizontal="center" vertical="top" wrapText="1"/>
    </xf>
    <xf numFmtId="0" fontId="15" fillId="0" borderId="8" xfId="1" applyFont="1" applyBorder="1" applyAlignment="1">
      <alignment horizontal="center" vertical="center"/>
    </xf>
  </cellXfs>
  <cellStyles count="6">
    <cellStyle name="40% - Accent1 2" xfId="3" xr:uid="{00000000-0005-0000-0000-000000000000}"/>
    <cellStyle name="Accent1 2" xfId="2" xr:uid="{00000000-0005-0000-0000-000001000000}"/>
    <cellStyle name="Heading 1 2" xfId="4" xr:uid="{00000000-0005-0000-0000-000002000000}"/>
    <cellStyle name="Hyperlink" xfId="5" builtinId="8"/>
    <cellStyle name="Normal" xfId="0" builtinId="0" customBuiltin="1"/>
    <cellStyle name="Normal 2" xfId="1" xr:uid="{00000000-0005-0000-0000-000005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A19574"/>
      <color rgb="FF01E4EF"/>
      <color rgb="FFC17529"/>
      <color rgb="FFFDFDFD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17.gif"/><Relationship Id="rId5" Type="http://schemas.openxmlformats.org/officeDocument/2006/relationships/image" Target="../media/image61.jpg"/><Relationship Id="rId4" Type="http://schemas.openxmlformats.org/officeDocument/2006/relationships/image" Target="../media/image60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3.jpg"/><Relationship Id="rId7" Type="http://schemas.openxmlformats.org/officeDocument/2006/relationships/image" Target="../media/image66.png"/><Relationship Id="rId2" Type="http://schemas.openxmlformats.org/officeDocument/2006/relationships/image" Target="../media/image62.jpg"/><Relationship Id="rId1" Type="http://schemas.openxmlformats.org/officeDocument/2006/relationships/image" Target="../media/image15.jpg"/><Relationship Id="rId6" Type="http://schemas.openxmlformats.org/officeDocument/2006/relationships/image" Target="../media/image44.png"/><Relationship Id="rId5" Type="http://schemas.openxmlformats.org/officeDocument/2006/relationships/image" Target="../media/image65.jpeg"/><Relationship Id="rId4" Type="http://schemas.openxmlformats.org/officeDocument/2006/relationships/image" Target="../media/image6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7" Type="http://schemas.openxmlformats.org/officeDocument/2006/relationships/image" Target="../media/image8.jpeg"/><Relationship Id="rId2" Type="http://schemas.openxmlformats.org/officeDocument/2006/relationships/image" Target="../media/image68.png"/><Relationship Id="rId1" Type="http://schemas.openxmlformats.org/officeDocument/2006/relationships/image" Target="../media/image67.jpg"/><Relationship Id="rId6" Type="http://schemas.openxmlformats.org/officeDocument/2006/relationships/image" Target="../media/image10.png"/><Relationship Id="rId5" Type="http://schemas.openxmlformats.org/officeDocument/2006/relationships/image" Target="../media/image71.jpg"/><Relationship Id="rId4" Type="http://schemas.openxmlformats.org/officeDocument/2006/relationships/image" Target="../media/image70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gif"/><Relationship Id="rId3" Type="http://schemas.openxmlformats.org/officeDocument/2006/relationships/image" Target="../media/image12.jpg"/><Relationship Id="rId7" Type="http://schemas.openxmlformats.org/officeDocument/2006/relationships/image" Target="../media/image16.gif"/><Relationship Id="rId2" Type="http://schemas.openxmlformats.org/officeDocument/2006/relationships/image" Target="../media/image11.jpg"/><Relationship Id="rId1" Type="http://schemas.openxmlformats.org/officeDocument/2006/relationships/image" Target="../media/image10.png"/><Relationship Id="rId6" Type="http://schemas.openxmlformats.org/officeDocument/2006/relationships/image" Target="../media/image15.jpg"/><Relationship Id="rId5" Type="http://schemas.openxmlformats.org/officeDocument/2006/relationships/image" Target="../media/image14.png"/><Relationship Id="rId4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5" Type="http://schemas.openxmlformats.org/officeDocument/2006/relationships/image" Target="../media/image22.png"/><Relationship Id="rId4" Type="http://schemas.openxmlformats.org/officeDocument/2006/relationships/image" Target="../media/image2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2" Type="http://schemas.openxmlformats.org/officeDocument/2006/relationships/image" Target="../media/image25.jpg"/><Relationship Id="rId1" Type="http://schemas.openxmlformats.org/officeDocument/2006/relationships/image" Target="../media/image24.jpg"/><Relationship Id="rId6" Type="http://schemas.openxmlformats.org/officeDocument/2006/relationships/image" Target="../media/image29.jpeg"/><Relationship Id="rId5" Type="http://schemas.openxmlformats.org/officeDocument/2006/relationships/image" Target="../media/image28.png"/><Relationship Id="rId10" Type="http://schemas.openxmlformats.org/officeDocument/2006/relationships/image" Target="../media/image10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5.gif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33.jpg"/><Relationship Id="rId6" Type="http://schemas.openxmlformats.org/officeDocument/2006/relationships/image" Target="../media/image38.png"/><Relationship Id="rId5" Type="http://schemas.openxmlformats.org/officeDocument/2006/relationships/image" Target="../media/image37.jpg"/><Relationship Id="rId4" Type="http://schemas.openxmlformats.org/officeDocument/2006/relationships/image" Target="../media/image36.png"/><Relationship Id="rId9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42.jpg"/><Relationship Id="rId1" Type="http://schemas.openxmlformats.org/officeDocument/2006/relationships/image" Target="../media/image41.png"/><Relationship Id="rId6" Type="http://schemas.openxmlformats.org/officeDocument/2006/relationships/image" Target="../media/image10.png"/><Relationship Id="rId5" Type="http://schemas.openxmlformats.org/officeDocument/2006/relationships/image" Target="../media/image7.jpg"/><Relationship Id="rId4" Type="http://schemas.openxmlformats.org/officeDocument/2006/relationships/image" Target="../media/image16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10.png"/><Relationship Id="rId5" Type="http://schemas.openxmlformats.org/officeDocument/2006/relationships/image" Target="../media/image48.jpg"/><Relationship Id="rId4" Type="http://schemas.openxmlformats.org/officeDocument/2006/relationships/image" Target="../media/image47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50.gif"/><Relationship Id="rId1" Type="http://schemas.openxmlformats.org/officeDocument/2006/relationships/image" Target="../media/image49.png"/><Relationship Id="rId5" Type="http://schemas.openxmlformats.org/officeDocument/2006/relationships/image" Target="../media/image10.png"/><Relationship Id="rId4" Type="http://schemas.openxmlformats.org/officeDocument/2006/relationships/image" Target="../media/image5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jpg"/><Relationship Id="rId1" Type="http://schemas.openxmlformats.org/officeDocument/2006/relationships/image" Target="../media/image53.png"/><Relationship Id="rId6" Type="http://schemas.openxmlformats.org/officeDocument/2006/relationships/image" Target="../media/image10.png"/><Relationship Id="rId5" Type="http://schemas.openxmlformats.org/officeDocument/2006/relationships/image" Target="../media/image17.gif"/><Relationship Id="rId4" Type="http://schemas.openxmlformats.org/officeDocument/2006/relationships/image" Target="../media/image5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981075</xdr:colOff>
      <xdr:row>0</xdr:row>
      <xdr:rowOff>47625</xdr:rowOff>
    </xdr:from>
    <xdr:to>
      <xdr:col>7</xdr:col>
      <xdr:colOff>1123950</xdr:colOff>
      <xdr:row>1</xdr:row>
      <xdr:rowOff>85725</xdr:rowOff>
    </xdr:to>
    <xdr:sp macro="" textlink="">
      <xdr:nvSpPr>
        <xdr:cNvPr id="1026" name="Spinner 2" descr="Spinner control. Use spinner to change calendar year or type desired year in cell L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3</xdr:col>
      <xdr:colOff>314615</xdr:colOff>
      <xdr:row>11</xdr:row>
      <xdr:rowOff>31675</xdr:rowOff>
    </xdr:from>
    <xdr:to>
      <xdr:col>3</xdr:col>
      <xdr:colOff>1128168</xdr:colOff>
      <xdr:row>12</xdr:row>
      <xdr:rowOff>973101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940" y="6051475"/>
          <a:ext cx="813553" cy="1122401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7</xdr:row>
      <xdr:rowOff>55378</xdr:rowOff>
    </xdr:from>
    <xdr:to>
      <xdr:col>0</xdr:col>
      <xdr:colOff>1292266</xdr:colOff>
      <xdr:row>8</xdr:row>
      <xdr:rowOff>945061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663" y="3754622"/>
          <a:ext cx="1048603" cy="1066892"/>
        </a:xfrm>
        <a:prstGeom prst="rect">
          <a:avLst/>
        </a:prstGeom>
      </xdr:spPr>
    </xdr:pic>
    <xdr:clientData/>
  </xdr:twoCellAnchor>
  <xdr:twoCellAnchor editAs="oneCell">
    <xdr:from>
      <xdr:col>4</xdr:col>
      <xdr:colOff>248536</xdr:colOff>
      <xdr:row>6</xdr:row>
      <xdr:rowOff>256067</xdr:rowOff>
    </xdr:from>
    <xdr:to>
      <xdr:col>4</xdr:col>
      <xdr:colOff>1242270</xdr:colOff>
      <xdr:row>6</xdr:row>
      <xdr:rowOff>884009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44461" y="2970692"/>
          <a:ext cx="993734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44302</xdr:colOff>
      <xdr:row>10</xdr:row>
      <xdr:rowOff>110755</xdr:rowOff>
    </xdr:from>
    <xdr:to>
      <xdr:col>2</xdr:col>
      <xdr:colOff>1334680</xdr:colOff>
      <xdr:row>10</xdr:row>
      <xdr:rowOff>863894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122" y="5150145"/>
          <a:ext cx="1290378" cy="753139"/>
        </a:xfrm>
        <a:prstGeom prst="rect">
          <a:avLst/>
        </a:prstGeom>
      </xdr:spPr>
    </xdr:pic>
    <xdr:clientData/>
  </xdr:twoCellAnchor>
  <xdr:twoCellAnchor editAs="oneCell">
    <xdr:from>
      <xdr:col>3</xdr:col>
      <xdr:colOff>53828</xdr:colOff>
      <xdr:row>4</xdr:row>
      <xdr:rowOff>36882</xdr:rowOff>
    </xdr:from>
    <xdr:to>
      <xdr:col>3</xdr:col>
      <xdr:colOff>1354301</xdr:colOff>
      <xdr:row>4</xdr:row>
      <xdr:rowOff>908199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153" y="1589457"/>
          <a:ext cx="1300473" cy="871317"/>
        </a:xfrm>
        <a:prstGeom prst="rect">
          <a:avLst/>
        </a:prstGeom>
      </xdr:spPr>
    </xdr:pic>
    <xdr:clientData/>
  </xdr:twoCellAnchor>
  <xdr:twoCellAnchor editAs="oneCell">
    <xdr:from>
      <xdr:col>1</xdr:col>
      <xdr:colOff>282901</xdr:colOff>
      <xdr:row>4</xdr:row>
      <xdr:rowOff>227936</xdr:rowOff>
    </xdr:from>
    <xdr:to>
      <xdr:col>1</xdr:col>
      <xdr:colOff>1074108</xdr:colOff>
      <xdr:row>4</xdr:row>
      <xdr:rowOff>944496</xdr:rowOff>
    </xdr:to>
    <xdr:pic>
      <xdr:nvPicPr>
        <xdr:cNvPr id="10" name="Picture 9" descr="http://www.alienworldscomics.com/wp-content/uploads/2014/12/New-Years-Day05.jpg">
          <a:extLst>
            <a:ext uri="{FF2B5EF4-FFF2-40B4-BE49-F238E27FC236}">
              <a16:creationId xmlns:a16="http://schemas.microsoft.com/office/drawing/2014/main" id="{00000000-0008-0000-0000-00000A000000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026" y="1780511"/>
          <a:ext cx="791207" cy="7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12</xdr:row>
      <xdr:rowOff>133312</xdr:rowOff>
    </xdr:from>
    <xdr:to>
      <xdr:col>6</xdr:col>
      <xdr:colOff>1345627</xdr:colOff>
      <xdr:row>12</xdr:row>
      <xdr:rowOff>771524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05800" y="6334087"/>
          <a:ext cx="1278952" cy="6382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167463</xdr:colOff>
      <xdr:row>12</xdr:row>
      <xdr:rowOff>231343</xdr:rowOff>
    </xdr:from>
    <xdr:to>
      <xdr:col>2</xdr:col>
      <xdr:colOff>1260401</xdr:colOff>
      <xdr:row>12</xdr:row>
      <xdr:rowOff>971549</xdr:rowOff>
    </xdr:to>
    <xdr:pic>
      <xdr:nvPicPr>
        <xdr:cNvPr id="5" name="Picture 4" descr="pumpkin_and_hat[1]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663" y="6460693"/>
          <a:ext cx="1092938" cy="740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87708</xdr:colOff>
      <xdr:row>3</xdr:row>
      <xdr:rowOff>70762</xdr:rowOff>
    </xdr:from>
    <xdr:to>
      <xdr:col>5</xdr:col>
      <xdr:colOff>1317995</xdr:colOff>
      <xdr:row>4</xdr:row>
      <xdr:rowOff>963575</xdr:rowOff>
    </xdr:to>
    <xdr:pic>
      <xdr:nvPicPr>
        <xdr:cNvPr id="6" name="Picture 5" descr="thCAL7WY6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4568" y="1433059"/>
          <a:ext cx="1230287" cy="10700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247650</xdr:colOff>
      <xdr:row>7</xdr:row>
      <xdr:rowOff>140234</xdr:rowOff>
    </xdr:from>
    <xdr:to>
      <xdr:col>2</xdr:col>
      <xdr:colOff>1200150</xdr:colOff>
      <xdr:row>8</xdr:row>
      <xdr:rowOff>900318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3845459"/>
          <a:ext cx="952500" cy="941059"/>
        </a:xfrm>
        <a:prstGeom prst="rect">
          <a:avLst/>
        </a:prstGeom>
      </xdr:spPr>
    </xdr:pic>
    <xdr:clientData/>
  </xdr:twoCellAnchor>
  <xdr:twoCellAnchor editAs="oneCell">
    <xdr:from>
      <xdr:col>1</xdr:col>
      <xdr:colOff>361174</xdr:colOff>
      <xdr:row>11</xdr:row>
      <xdr:rowOff>121831</xdr:rowOff>
    </xdr:from>
    <xdr:to>
      <xdr:col>1</xdr:col>
      <xdr:colOff>1078564</xdr:colOff>
      <xdr:row>12</xdr:row>
      <xdr:rowOff>930349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546" y="6135872"/>
          <a:ext cx="717390" cy="985727"/>
        </a:xfrm>
        <a:prstGeom prst="rect">
          <a:avLst/>
        </a:prstGeom>
      </xdr:spPr>
    </xdr:pic>
    <xdr:clientData/>
  </xdr:twoCellAnchor>
  <xdr:twoCellAnchor editAs="oneCell">
    <xdr:from>
      <xdr:col>1</xdr:col>
      <xdr:colOff>216639</xdr:colOff>
      <xdr:row>3</xdr:row>
      <xdr:rowOff>117401</xdr:rowOff>
    </xdr:from>
    <xdr:to>
      <xdr:col>1</xdr:col>
      <xdr:colOff>1169139</xdr:colOff>
      <xdr:row>4</xdr:row>
      <xdr:rowOff>888926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239" y="147947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5</xdr:row>
      <xdr:rowOff>123825</xdr:rowOff>
    </xdr:from>
    <xdr:to>
      <xdr:col>6</xdr:col>
      <xdr:colOff>1296064</xdr:colOff>
      <xdr:row>6</xdr:row>
      <xdr:rowOff>951582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2657475"/>
          <a:ext cx="1086514" cy="10087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343343</xdr:colOff>
      <xdr:row>3</xdr:row>
      <xdr:rowOff>37878</xdr:rowOff>
    </xdr:from>
    <xdr:to>
      <xdr:col>2</xdr:col>
      <xdr:colOff>1041105</xdr:colOff>
      <xdr:row>4</xdr:row>
      <xdr:rowOff>934149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543" y="1399953"/>
          <a:ext cx="697762" cy="1077246"/>
        </a:xfrm>
        <a:prstGeom prst="rect">
          <a:avLst/>
        </a:prstGeom>
      </xdr:spPr>
    </xdr:pic>
    <xdr:clientData/>
  </xdr:twoCellAnchor>
  <xdr:twoCellAnchor editAs="oneCell">
    <xdr:from>
      <xdr:col>3</xdr:col>
      <xdr:colOff>459502</xdr:colOff>
      <xdr:row>11</xdr:row>
      <xdr:rowOff>79079</xdr:rowOff>
    </xdr:from>
    <xdr:to>
      <xdr:col>3</xdr:col>
      <xdr:colOff>882725</xdr:colOff>
      <xdr:row>12</xdr:row>
      <xdr:rowOff>898672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302" y="6127454"/>
          <a:ext cx="423223" cy="1000568"/>
        </a:xfrm>
        <a:prstGeom prst="rect">
          <a:avLst/>
        </a:prstGeom>
      </xdr:spPr>
    </xdr:pic>
    <xdr:clientData/>
  </xdr:twoCellAnchor>
  <xdr:twoCellAnchor editAs="oneCell">
    <xdr:from>
      <xdr:col>5</xdr:col>
      <xdr:colOff>151736</xdr:colOff>
      <xdr:row>7</xdr:row>
      <xdr:rowOff>167906</xdr:rowOff>
    </xdr:from>
    <xdr:to>
      <xdr:col>5</xdr:col>
      <xdr:colOff>1218536</xdr:colOff>
      <xdr:row>8</xdr:row>
      <xdr:rowOff>904875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736" y="3873131"/>
          <a:ext cx="1066800" cy="91794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9525</xdr:rowOff>
    </xdr:from>
    <xdr:to>
      <xdr:col>4</xdr:col>
      <xdr:colOff>1266825</xdr:colOff>
      <xdr:row>10</xdr:row>
      <xdr:rowOff>885825</xdr:rowOff>
    </xdr:to>
    <xdr:pic>
      <xdr:nvPicPr>
        <xdr:cNvPr id="7" name="Picture 6" descr="http://ts1.mm.bing.net/th?&amp;id=JN.oi0TnTTFvwkkLWzrZCbt7g&amp;w=300&amp;h=300&amp;c=0&amp;pid=1.9&amp;rs=0&amp;p=0">
          <a:extLst>
            <a:ext uri="{FF2B5EF4-FFF2-40B4-BE49-F238E27FC236}">
              <a16:creationId xmlns:a16="http://schemas.microsoft.com/office/drawing/2014/main" id="{00000000-0008-0000-0A00-000007000000}"/>
            </a:ext>
            <a:ext uri="{147F2762-F138-4A5C-976F-8EAC2B608ADB}">
              <a16:predDERef xmlns:a16="http://schemas.microsoft.com/office/drawing/2014/main" pre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5067300"/>
          <a:ext cx="11715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290576</xdr:colOff>
      <xdr:row>5</xdr:row>
      <xdr:rowOff>79081</xdr:rowOff>
    </xdr:from>
    <xdr:to>
      <xdr:col>3</xdr:col>
      <xdr:colOff>1158808</xdr:colOff>
      <xdr:row>6</xdr:row>
      <xdr:rowOff>981076</xdr:rowOff>
    </xdr:to>
    <xdr:pic>
      <xdr:nvPicPr>
        <xdr:cNvPr id="9" name="Picture 8" descr="http://poorestofthepoor.files.wordpress.com/2010/11/slipping.jp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76" y="2612731"/>
          <a:ext cx="868232" cy="108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159932</xdr:colOff>
      <xdr:row>6</xdr:row>
      <xdr:rowOff>245213</xdr:rowOff>
    </xdr:from>
    <xdr:to>
      <xdr:col>6</xdr:col>
      <xdr:colOff>1278565</xdr:colOff>
      <xdr:row>6</xdr:row>
      <xdr:rowOff>965126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  <a:ext uri="{147F2762-F138-4A5C-976F-8EAC2B608ADB}">
              <a16:predDERef xmlns:a16="http://schemas.microsoft.com/office/drawing/2014/main" pre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532" y="2959838"/>
          <a:ext cx="1118633" cy="719913"/>
        </a:xfrm>
        <a:prstGeom prst="rect">
          <a:avLst/>
        </a:prstGeom>
      </xdr:spPr>
    </xdr:pic>
    <xdr:clientData/>
  </xdr:twoCellAnchor>
  <xdr:twoCellAnchor>
    <xdr:from>
      <xdr:col>1</xdr:col>
      <xdr:colOff>155907</xdr:colOff>
      <xdr:row>11</xdr:row>
      <xdr:rowOff>143982</xdr:rowOff>
    </xdr:from>
    <xdr:to>
      <xdr:col>1</xdr:col>
      <xdr:colOff>1278244</xdr:colOff>
      <xdr:row>12</xdr:row>
      <xdr:rowOff>953888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279" y="6158023"/>
          <a:ext cx="1122337" cy="9871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47625</xdr:colOff>
      <xdr:row>4</xdr:row>
      <xdr:rowOff>104775</xdr:rowOff>
    </xdr:from>
    <xdr:to>
      <xdr:col>0</xdr:col>
      <xdr:colOff>1337555</xdr:colOff>
      <xdr:row>4</xdr:row>
      <xdr:rowOff>743537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" y="1647825"/>
          <a:ext cx="1289930" cy="6387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265815</xdr:colOff>
      <xdr:row>3</xdr:row>
      <xdr:rowOff>113968</xdr:rowOff>
    </xdr:from>
    <xdr:to>
      <xdr:col>5</xdr:col>
      <xdr:colOff>1203899</xdr:colOff>
      <xdr:row>4</xdr:row>
      <xdr:rowOff>930350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675" y="1454113"/>
          <a:ext cx="938084" cy="993592"/>
        </a:xfrm>
        <a:prstGeom prst="rect">
          <a:avLst/>
        </a:prstGeom>
      </xdr:spPr>
    </xdr:pic>
    <xdr:clientData/>
  </xdr:twoCellAnchor>
  <xdr:twoCellAnchor editAs="oneCell">
    <xdr:from>
      <xdr:col>1</xdr:col>
      <xdr:colOff>321192</xdr:colOff>
      <xdr:row>8</xdr:row>
      <xdr:rowOff>221511</xdr:rowOff>
    </xdr:from>
    <xdr:to>
      <xdr:col>1</xdr:col>
      <xdr:colOff>1041104</xdr:colOff>
      <xdr:row>8</xdr:row>
      <xdr:rowOff>941423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564" y="4064738"/>
          <a:ext cx="719912" cy="719912"/>
        </a:xfrm>
        <a:prstGeom prst="rect">
          <a:avLst/>
        </a:prstGeom>
      </xdr:spPr>
    </xdr:pic>
    <xdr:clientData/>
  </xdr:twoCellAnchor>
  <xdr:twoCellAnchor editAs="oneCell">
    <xdr:from>
      <xdr:col>1</xdr:col>
      <xdr:colOff>278023</xdr:colOff>
      <xdr:row>11</xdr:row>
      <xdr:rowOff>47624</xdr:rowOff>
    </xdr:from>
    <xdr:to>
      <xdr:col>1</xdr:col>
      <xdr:colOff>1077222</xdr:colOff>
      <xdr:row>13</xdr:row>
      <xdr:rowOff>781049</xdr:rowOff>
    </xdr:to>
    <xdr:pic>
      <xdr:nvPicPr>
        <xdr:cNvPr id="6" name="Picture 5" descr="http://www.turnbacktogod.com/wp-content/uploads/2008/12/christmas-tree-pics-0111.jpg">
          <a:extLst>
            <a:ext uri="{FF2B5EF4-FFF2-40B4-BE49-F238E27FC236}">
              <a16:creationId xmlns:a16="http://schemas.microsoft.com/office/drawing/2014/main" id="{00000000-0008-0000-0B00-000006000000}"/>
            </a:ext>
            <a:ext uri="{147F2762-F138-4A5C-976F-8EAC2B608ADB}">
              <a16:predDERef xmlns:a16="http://schemas.microsoft.com/office/drawing/2014/main" pre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623" y="6067424"/>
          <a:ext cx="799199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273060</xdr:colOff>
      <xdr:row>5</xdr:row>
      <xdr:rowOff>77529</xdr:rowOff>
    </xdr:from>
    <xdr:to>
      <xdr:col>3</xdr:col>
      <xdr:colOff>1076040</xdr:colOff>
      <xdr:row>6</xdr:row>
      <xdr:rowOff>941423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176" y="2580610"/>
          <a:ext cx="802980" cy="1041104"/>
        </a:xfrm>
        <a:prstGeom prst="rect">
          <a:avLst/>
        </a:prstGeom>
      </xdr:spPr>
    </xdr:pic>
    <xdr:clientData/>
  </xdr:twoCellAnchor>
  <xdr:twoCellAnchor editAs="oneCell">
    <xdr:from>
      <xdr:col>2</xdr:col>
      <xdr:colOff>188285</xdr:colOff>
      <xdr:row>11</xdr:row>
      <xdr:rowOff>110756</xdr:rowOff>
    </xdr:from>
    <xdr:to>
      <xdr:col>2</xdr:col>
      <xdr:colOff>1185087</xdr:colOff>
      <xdr:row>13</xdr:row>
      <xdr:rowOff>749374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029" y="6102646"/>
          <a:ext cx="996802" cy="9968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142875</xdr:rowOff>
    </xdr:from>
    <xdr:to>
      <xdr:col>0</xdr:col>
      <xdr:colOff>1328030</xdr:colOff>
      <xdr:row>4</xdr:row>
      <xdr:rowOff>781637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657350"/>
          <a:ext cx="1289930" cy="638762"/>
        </a:xfrm>
        <a:prstGeom prst="rect">
          <a:avLst/>
        </a:prstGeom>
      </xdr:spPr>
    </xdr:pic>
    <xdr:clientData/>
  </xdr:twoCellAnchor>
  <xdr:twoCellAnchor editAs="oneCell">
    <xdr:from>
      <xdr:col>0</xdr:col>
      <xdr:colOff>330526</xdr:colOff>
      <xdr:row>12</xdr:row>
      <xdr:rowOff>170786</xdr:rowOff>
    </xdr:from>
    <xdr:to>
      <xdr:col>0</xdr:col>
      <xdr:colOff>1121733</xdr:colOff>
      <xdr:row>13</xdr:row>
      <xdr:rowOff>706371</xdr:rowOff>
    </xdr:to>
    <xdr:pic>
      <xdr:nvPicPr>
        <xdr:cNvPr id="12" name="Picture 11" descr="http://www.alienworldscomics.com/wp-content/uploads/2014/12/New-Years-Day05.jpg">
          <a:extLst>
            <a:ext uri="{FF2B5EF4-FFF2-40B4-BE49-F238E27FC236}">
              <a16:creationId xmlns:a16="http://schemas.microsoft.com/office/drawing/2014/main" id="{DB7E3B13-D6E5-44C7-BFCF-1B6E8956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26" y="6371561"/>
          <a:ext cx="791207" cy="7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5</xdr:col>
      <xdr:colOff>527930</xdr:colOff>
      <xdr:row>7</xdr:row>
      <xdr:rowOff>38687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800100"/>
          <a:ext cx="1289930" cy="638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32625</xdr:colOff>
      <xdr:row>12</xdr:row>
      <xdr:rowOff>114301</xdr:rowOff>
    </xdr:from>
    <xdr:to>
      <xdr:col>6</xdr:col>
      <xdr:colOff>1322555</xdr:colOff>
      <xdr:row>12</xdr:row>
      <xdr:rowOff>753063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2225" y="6315076"/>
          <a:ext cx="1289930" cy="638762"/>
        </a:xfrm>
        <a:prstGeom prst="rect">
          <a:avLst/>
        </a:prstGeom>
      </xdr:spPr>
    </xdr:pic>
    <xdr:clientData/>
  </xdr:twoCellAnchor>
  <xdr:twoCellAnchor editAs="oneCell">
    <xdr:from>
      <xdr:col>5</xdr:col>
      <xdr:colOff>210435</xdr:colOff>
      <xdr:row>8</xdr:row>
      <xdr:rowOff>55382</xdr:rowOff>
    </xdr:from>
    <xdr:to>
      <xdr:col>5</xdr:col>
      <xdr:colOff>1207239</xdr:colOff>
      <xdr:row>8</xdr:row>
      <xdr:rowOff>970092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295" y="3920760"/>
          <a:ext cx="996804" cy="914710"/>
        </a:xfrm>
        <a:prstGeom prst="rect">
          <a:avLst/>
        </a:prstGeom>
      </xdr:spPr>
    </xdr:pic>
    <xdr:clientData/>
  </xdr:twoCellAnchor>
  <xdr:twoCellAnchor editAs="oneCell">
    <xdr:from>
      <xdr:col>6</xdr:col>
      <xdr:colOff>124664</xdr:colOff>
      <xdr:row>4</xdr:row>
      <xdr:rowOff>66453</xdr:rowOff>
    </xdr:from>
    <xdr:to>
      <xdr:col>6</xdr:col>
      <xdr:colOff>1326556</xdr:colOff>
      <xdr:row>4</xdr:row>
      <xdr:rowOff>963575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4897" y="1605959"/>
          <a:ext cx="1201892" cy="897122"/>
        </a:xfrm>
        <a:prstGeom prst="rect">
          <a:avLst/>
        </a:prstGeom>
      </xdr:spPr>
    </xdr:pic>
    <xdr:clientData/>
  </xdr:twoCellAnchor>
  <xdr:twoCellAnchor editAs="oneCell">
    <xdr:from>
      <xdr:col>2</xdr:col>
      <xdr:colOff>387645</xdr:colOff>
      <xdr:row>5</xdr:row>
      <xdr:rowOff>65145</xdr:rowOff>
    </xdr:from>
    <xdr:to>
      <xdr:col>2</xdr:col>
      <xdr:colOff>1118634</xdr:colOff>
      <xdr:row>6</xdr:row>
      <xdr:rowOff>941136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" t="19219" r="60634" b="10045"/>
        <a:stretch/>
      </xdr:blipFill>
      <xdr:spPr>
        <a:xfrm>
          <a:off x="3134389" y="2590378"/>
          <a:ext cx="730989" cy="10532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210436</xdr:colOff>
      <xdr:row>9</xdr:row>
      <xdr:rowOff>121831</xdr:rowOff>
    </xdr:from>
    <xdr:to>
      <xdr:col>1</xdr:col>
      <xdr:colOff>1252942</xdr:colOff>
      <xdr:row>10</xdr:row>
      <xdr:rowOff>967722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3808" y="4972936"/>
          <a:ext cx="1042506" cy="1012024"/>
        </a:xfrm>
        <a:prstGeom prst="rect">
          <a:avLst/>
        </a:prstGeom>
      </xdr:spPr>
    </xdr:pic>
    <xdr:clientData/>
  </xdr:twoCellAnchor>
  <xdr:twoCellAnchor editAs="oneCell">
    <xdr:from>
      <xdr:col>4</xdr:col>
      <xdr:colOff>287966</xdr:colOff>
      <xdr:row>11</xdr:row>
      <xdr:rowOff>25049</xdr:rowOff>
    </xdr:from>
    <xdr:to>
      <xdr:col>4</xdr:col>
      <xdr:colOff>1018954</xdr:colOff>
      <xdr:row>12</xdr:row>
      <xdr:rowOff>972437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454" y="6028014"/>
          <a:ext cx="730988" cy="1124597"/>
        </a:xfrm>
        <a:prstGeom prst="rect">
          <a:avLst/>
        </a:prstGeom>
      </xdr:spPr>
    </xdr:pic>
    <xdr:clientData/>
  </xdr:twoCellAnchor>
  <xdr:twoCellAnchor editAs="oneCell">
    <xdr:from>
      <xdr:col>3</xdr:col>
      <xdr:colOff>70884</xdr:colOff>
      <xdr:row>11</xdr:row>
      <xdr:rowOff>49175</xdr:rowOff>
    </xdr:from>
    <xdr:to>
      <xdr:col>3</xdr:col>
      <xdr:colOff>1200593</xdr:colOff>
      <xdr:row>13</xdr:row>
      <xdr:rowOff>7856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684" y="6068975"/>
          <a:ext cx="1129709" cy="113025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</xdr:row>
      <xdr:rowOff>118320</xdr:rowOff>
    </xdr:from>
    <xdr:to>
      <xdr:col>0</xdr:col>
      <xdr:colOff>1229389</xdr:colOff>
      <xdr:row>12</xdr:row>
      <xdr:rowOff>946077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138120"/>
          <a:ext cx="1086514" cy="10087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343341</xdr:colOff>
      <xdr:row>5</xdr:row>
      <xdr:rowOff>66453</xdr:rowOff>
    </xdr:from>
    <xdr:to>
      <xdr:col>0</xdr:col>
      <xdr:colOff>1050538</xdr:colOff>
      <xdr:row>6</xdr:row>
      <xdr:rowOff>950040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341" y="2591686"/>
          <a:ext cx="707197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118730</xdr:colOff>
      <xdr:row>4</xdr:row>
      <xdr:rowOff>204012</xdr:rowOff>
    </xdr:from>
    <xdr:to>
      <xdr:col>1</xdr:col>
      <xdr:colOff>1258781</xdr:colOff>
      <xdr:row>4</xdr:row>
      <xdr:rowOff>911209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330" y="1747062"/>
          <a:ext cx="1140051" cy="707197"/>
        </a:xfrm>
        <a:prstGeom prst="rect">
          <a:avLst/>
        </a:prstGeom>
      </xdr:spPr>
    </xdr:pic>
    <xdr:clientData/>
  </xdr:twoCellAnchor>
  <xdr:twoCellAnchor editAs="oneCell">
    <xdr:from>
      <xdr:col>4</xdr:col>
      <xdr:colOff>138616</xdr:colOff>
      <xdr:row>12</xdr:row>
      <xdr:rowOff>33227</xdr:rowOff>
    </xdr:from>
    <xdr:to>
      <xdr:col>4</xdr:col>
      <xdr:colOff>1215656</xdr:colOff>
      <xdr:row>12</xdr:row>
      <xdr:rowOff>812875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32104" y="6224477"/>
          <a:ext cx="1077040" cy="779648"/>
        </a:xfrm>
        <a:prstGeom prst="rect">
          <a:avLst/>
        </a:prstGeom>
      </xdr:spPr>
    </xdr:pic>
    <xdr:clientData/>
  </xdr:twoCellAnchor>
  <xdr:twoCellAnchor editAs="oneCell">
    <xdr:from>
      <xdr:col>6</xdr:col>
      <xdr:colOff>210436</xdr:colOff>
      <xdr:row>5</xdr:row>
      <xdr:rowOff>77529</xdr:rowOff>
    </xdr:from>
    <xdr:to>
      <xdr:col>6</xdr:col>
      <xdr:colOff>1240465</xdr:colOff>
      <xdr:row>6</xdr:row>
      <xdr:rowOff>930349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0669" y="2602762"/>
          <a:ext cx="1030029" cy="1030029"/>
        </a:xfrm>
        <a:prstGeom prst="rect">
          <a:avLst/>
        </a:prstGeom>
      </xdr:spPr>
    </xdr:pic>
    <xdr:clientData/>
  </xdr:twoCellAnchor>
  <xdr:twoCellAnchor editAs="oneCell">
    <xdr:from>
      <xdr:col>3</xdr:col>
      <xdr:colOff>289802</xdr:colOff>
      <xdr:row>9</xdr:row>
      <xdr:rowOff>66453</xdr:rowOff>
    </xdr:from>
    <xdr:to>
      <xdr:col>3</xdr:col>
      <xdr:colOff>1155961</xdr:colOff>
      <xdr:row>10</xdr:row>
      <xdr:rowOff>941424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09918" y="4917558"/>
          <a:ext cx="866159" cy="1052180"/>
        </a:xfrm>
        <a:prstGeom prst="rect">
          <a:avLst/>
        </a:prstGeom>
      </xdr:spPr>
    </xdr:pic>
    <xdr:clientData/>
  </xdr:twoCellAnchor>
  <xdr:twoCellAnchor editAs="oneCell">
    <xdr:from>
      <xdr:col>4</xdr:col>
      <xdr:colOff>254551</xdr:colOff>
      <xdr:row>3</xdr:row>
      <xdr:rowOff>66453</xdr:rowOff>
    </xdr:from>
    <xdr:to>
      <xdr:col>4</xdr:col>
      <xdr:colOff>1114559</xdr:colOff>
      <xdr:row>4</xdr:row>
      <xdr:rowOff>952500</xdr:rowOff>
    </xdr:to>
    <xdr:pic>
      <xdr:nvPicPr>
        <xdr:cNvPr id="12" name="Picture 11" descr="http://ts1.mm.bing.net/th?&amp;id=HN.608018974004478107&amp;w=300&amp;h=300&amp;c=0&amp;pid=1.9&amp;rs=0&amp;p=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039" y="1428750"/>
          <a:ext cx="860008" cy="1063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12</xdr:row>
      <xdr:rowOff>85725</xdr:rowOff>
    </xdr:from>
    <xdr:to>
      <xdr:col>6</xdr:col>
      <xdr:colOff>1306870</xdr:colOff>
      <xdr:row>12</xdr:row>
      <xdr:rowOff>676275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43900" y="6315075"/>
          <a:ext cx="1192570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12627</xdr:colOff>
      <xdr:row>10</xdr:row>
      <xdr:rowOff>17352</xdr:rowOff>
    </xdr:from>
    <xdr:to>
      <xdr:col>2</xdr:col>
      <xdr:colOff>1362076</xdr:colOff>
      <xdr:row>10</xdr:row>
      <xdr:rowOff>975981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827" y="5075127"/>
          <a:ext cx="1349449" cy="958629"/>
        </a:xfrm>
        <a:prstGeom prst="rect">
          <a:avLst/>
        </a:prstGeom>
      </xdr:spPr>
    </xdr:pic>
    <xdr:clientData/>
  </xdr:twoCellAnchor>
  <xdr:twoCellAnchor editAs="oneCell">
    <xdr:from>
      <xdr:col>6</xdr:col>
      <xdr:colOff>231258</xdr:colOff>
      <xdr:row>11</xdr:row>
      <xdr:rowOff>92392</xdr:rowOff>
    </xdr:from>
    <xdr:to>
      <xdr:col>6</xdr:col>
      <xdr:colOff>1216984</xdr:colOff>
      <xdr:row>13</xdr:row>
      <xdr:rowOff>725981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0858" y="6140767"/>
          <a:ext cx="985726" cy="99553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179203</xdr:colOff>
      <xdr:row>4</xdr:row>
      <xdr:rowOff>95250</xdr:rowOff>
    </xdr:from>
    <xdr:to>
      <xdr:col>0</xdr:col>
      <xdr:colOff>1240575</xdr:colOff>
      <xdr:row>4</xdr:row>
      <xdr:rowOff>882723</xdr:rowOff>
    </xdr:to>
    <xdr:pic>
      <xdr:nvPicPr>
        <xdr:cNvPr id="7" name="Picture 6" descr="http://backgroundhdwallpaper.com/wp-content/uploads/2013/03/Happy-Easter-Bunny-Images-Background-HD-Wallpaper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r="5481"/>
        <a:stretch/>
      </xdr:blipFill>
      <xdr:spPr bwMode="auto">
        <a:xfrm>
          <a:off x="179203" y="1638300"/>
          <a:ext cx="1061372" cy="787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310116</xdr:colOff>
      <xdr:row>4</xdr:row>
      <xdr:rowOff>420872</xdr:rowOff>
    </xdr:from>
    <xdr:to>
      <xdr:col>6</xdr:col>
      <xdr:colOff>1069070</xdr:colOff>
      <xdr:row>4</xdr:row>
      <xdr:rowOff>421252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516" y="3402197"/>
          <a:ext cx="758954" cy="542545"/>
        </a:xfrm>
        <a:prstGeom prst="rect">
          <a:avLst/>
        </a:prstGeom>
      </xdr:spPr>
    </xdr:pic>
    <xdr:clientData/>
  </xdr:twoCellAnchor>
  <xdr:twoCellAnchor editAs="oneCell">
    <xdr:from>
      <xdr:col>6</xdr:col>
      <xdr:colOff>310115</xdr:colOff>
      <xdr:row>4</xdr:row>
      <xdr:rowOff>450909</xdr:rowOff>
    </xdr:from>
    <xdr:to>
      <xdr:col>6</xdr:col>
      <xdr:colOff>1061106</xdr:colOff>
      <xdr:row>4</xdr:row>
      <xdr:rowOff>985615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50348" y="1990415"/>
          <a:ext cx="750991" cy="534706"/>
        </a:xfrm>
        <a:prstGeom prst="rect">
          <a:avLst/>
        </a:prstGeom>
      </xdr:spPr>
    </xdr:pic>
    <xdr:clientData/>
  </xdr:twoCellAnchor>
  <xdr:twoCellAnchor editAs="oneCell">
    <xdr:from>
      <xdr:col>4</xdr:col>
      <xdr:colOff>312742</xdr:colOff>
      <xdr:row>11</xdr:row>
      <xdr:rowOff>53827</xdr:rowOff>
    </xdr:from>
    <xdr:to>
      <xdr:col>4</xdr:col>
      <xdr:colOff>1115533</xdr:colOff>
      <xdr:row>13</xdr:row>
      <xdr:rowOff>758899</xdr:rowOff>
    </xdr:to>
    <xdr:pic>
      <xdr:nvPicPr>
        <xdr:cNvPr id="12" name="Picture 11" descr="http://ts1.mm.bing.net/th?&amp;id=HN.608037498275168830&amp;w=300&amp;h=300&amp;c=0&amp;pid=1.9&amp;rs=0&amp;p=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9142" y="6102202"/>
          <a:ext cx="802791" cy="106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210436</xdr:colOff>
      <xdr:row>7</xdr:row>
      <xdr:rowOff>143983</xdr:rowOff>
    </xdr:from>
    <xdr:to>
      <xdr:col>3</xdr:col>
      <xdr:colOff>1204170</xdr:colOff>
      <xdr:row>8</xdr:row>
      <xdr:rowOff>942219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30552" y="3832152"/>
          <a:ext cx="993734" cy="975445"/>
        </a:xfrm>
        <a:prstGeom prst="rect">
          <a:avLst/>
        </a:prstGeom>
      </xdr:spPr>
    </xdr:pic>
    <xdr:clientData/>
  </xdr:twoCellAnchor>
  <xdr:twoCellAnchor editAs="oneCell">
    <xdr:from>
      <xdr:col>5</xdr:col>
      <xdr:colOff>276889</xdr:colOff>
      <xdr:row>6</xdr:row>
      <xdr:rowOff>199176</xdr:rowOff>
    </xdr:from>
    <xdr:to>
      <xdr:col>5</xdr:col>
      <xdr:colOff>1118633</xdr:colOff>
      <xdr:row>6</xdr:row>
      <xdr:rowOff>201115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089" y="4352076"/>
          <a:ext cx="841744" cy="763939"/>
        </a:xfrm>
        <a:prstGeom prst="rect">
          <a:avLst/>
        </a:prstGeom>
      </xdr:spPr>
    </xdr:pic>
    <xdr:clientData/>
  </xdr:twoCellAnchor>
  <xdr:twoCellAnchor editAs="oneCell">
    <xdr:from>
      <xdr:col>5</xdr:col>
      <xdr:colOff>299041</xdr:colOff>
      <xdr:row>6</xdr:row>
      <xdr:rowOff>221512</xdr:rowOff>
    </xdr:from>
    <xdr:to>
      <xdr:col>5</xdr:col>
      <xdr:colOff>1140362</xdr:colOff>
      <xdr:row>6</xdr:row>
      <xdr:rowOff>983578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65901" y="2923954"/>
          <a:ext cx="841321" cy="762066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12</xdr:row>
      <xdr:rowOff>104775</xdr:rowOff>
    </xdr:from>
    <xdr:to>
      <xdr:col>5</xdr:col>
      <xdr:colOff>1328030</xdr:colOff>
      <xdr:row>13</xdr:row>
      <xdr:rowOff>562562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96100" y="6334125"/>
          <a:ext cx="1289930" cy="638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240341</xdr:colOff>
      <xdr:row>9</xdr:row>
      <xdr:rowOff>85504</xdr:rowOff>
    </xdr:from>
    <xdr:ext cx="919272" cy="1069419"/>
    <xdr:pic>
      <xdr:nvPicPr>
        <xdr:cNvPr id="2" name="Picture 1">
          <a:extLst>
            <a:ext uri="{FF2B5EF4-FFF2-40B4-BE49-F238E27FC236}">
              <a16:creationId xmlns:a16="http://schemas.microsoft.com/office/drawing/2014/main" id="{B666824A-11A7-4462-8B7B-71ADCE35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41" y="1885729"/>
          <a:ext cx="919272" cy="1069419"/>
        </a:xfrm>
        <a:prstGeom prst="rect">
          <a:avLst/>
        </a:prstGeom>
      </xdr:spPr>
    </xdr:pic>
    <xdr:clientData/>
  </xdr:oneCellAnchor>
  <xdr:oneCellAnchor>
    <xdr:from>
      <xdr:col>5</xdr:col>
      <xdr:colOff>132908</xdr:colOff>
      <xdr:row>4</xdr:row>
      <xdr:rowOff>66453</xdr:rowOff>
    </xdr:from>
    <xdr:ext cx="1161474" cy="829022"/>
    <xdr:pic>
      <xdr:nvPicPr>
        <xdr:cNvPr id="3" name="Picture 2">
          <a:extLst>
            <a:ext uri="{FF2B5EF4-FFF2-40B4-BE49-F238E27FC236}">
              <a16:creationId xmlns:a16="http://schemas.microsoft.com/office/drawing/2014/main" id="{259F3C70-30DF-4ABF-B7F0-0B446709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408" y="866553"/>
          <a:ext cx="1161474" cy="829022"/>
        </a:xfrm>
        <a:prstGeom prst="rect">
          <a:avLst/>
        </a:prstGeom>
      </xdr:spPr>
    </xdr:pic>
    <xdr:clientData/>
  </xdr:oneCellAnchor>
  <xdr:oneCellAnchor>
    <xdr:from>
      <xdr:col>2</xdr:col>
      <xdr:colOff>303471</xdr:colOff>
      <xdr:row>7</xdr:row>
      <xdr:rowOff>75977</xdr:rowOff>
    </xdr:from>
    <xdr:ext cx="907090" cy="1033795"/>
    <xdr:pic>
      <xdr:nvPicPr>
        <xdr:cNvPr id="4" name="Picture 3">
          <a:extLst>
            <a:ext uri="{FF2B5EF4-FFF2-40B4-BE49-F238E27FC236}">
              <a16:creationId xmlns:a16="http://schemas.microsoft.com/office/drawing/2014/main" id="{3BFC6F65-B190-48E8-9342-94E6A82E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471" y="1476152"/>
          <a:ext cx="907090" cy="1033795"/>
        </a:xfrm>
        <a:prstGeom prst="rect">
          <a:avLst/>
        </a:prstGeom>
      </xdr:spPr>
    </xdr:pic>
    <xdr:clientData/>
  </xdr:oneCellAnchor>
  <xdr:oneCellAnchor>
    <xdr:from>
      <xdr:col>1</xdr:col>
      <xdr:colOff>343343</xdr:colOff>
      <xdr:row>12</xdr:row>
      <xdr:rowOff>199360</xdr:rowOff>
    </xdr:from>
    <xdr:ext cx="685801" cy="737618"/>
    <xdr:pic>
      <xdr:nvPicPr>
        <xdr:cNvPr id="5" name="Picture 4">
          <a:extLst>
            <a:ext uri="{FF2B5EF4-FFF2-40B4-BE49-F238E27FC236}">
              <a16:creationId xmlns:a16="http://schemas.microsoft.com/office/drawing/2014/main" id="{9D55168C-781B-4F99-9AAC-BDEE66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843" y="2599660"/>
          <a:ext cx="685801" cy="737618"/>
        </a:xfrm>
        <a:prstGeom prst="rect">
          <a:avLst/>
        </a:prstGeom>
      </xdr:spPr>
    </xdr:pic>
    <xdr:clientData/>
  </xdr:oneCellAnchor>
  <xdr:oneCellAnchor>
    <xdr:from>
      <xdr:col>4</xdr:col>
      <xdr:colOff>297858</xdr:colOff>
      <xdr:row>11</xdr:row>
      <xdr:rowOff>80631</xdr:rowOff>
    </xdr:from>
    <xdr:ext cx="907829" cy="997739"/>
    <xdr:pic>
      <xdr:nvPicPr>
        <xdr:cNvPr id="6" name="Picture 5">
          <a:extLst>
            <a:ext uri="{FF2B5EF4-FFF2-40B4-BE49-F238E27FC236}">
              <a16:creationId xmlns:a16="http://schemas.microsoft.com/office/drawing/2014/main" id="{2C6920C5-18EE-4F8E-A536-75AD601C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858" y="2280906"/>
          <a:ext cx="907829" cy="997739"/>
        </a:xfrm>
        <a:prstGeom prst="rect">
          <a:avLst/>
        </a:prstGeom>
      </xdr:spPr>
    </xdr:pic>
    <xdr:clientData/>
  </xdr:oneCellAnchor>
  <xdr:oneCellAnchor>
    <xdr:from>
      <xdr:col>3</xdr:col>
      <xdr:colOff>431948</xdr:colOff>
      <xdr:row>6</xdr:row>
      <xdr:rowOff>398723</xdr:rowOff>
    </xdr:from>
    <xdr:ext cx="587006" cy="1329"/>
    <xdr:pic>
      <xdr:nvPicPr>
        <xdr:cNvPr id="7" name="Picture 6">
          <a:extLst>
            <a:ext uri="{FF2B5EF4-FFF2-40B4-BE49-F238E27FC236}">
              <a16:creationId xmlns:a16="http://schemas.microsoft.com/office/drawing/2014/main" id="{5A1BDD05-92E1-4B6F-A063-96CDC307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448" y="1398848"/>
          <a:ext cx="587006" cy="1329"/>
        </a:xfrm>
        <a:prstGeom prst="rect">
          <a:avLst/>
        </a:prstGeom>
      </xdr:spPr>
    </xdr:pic>
    <xdr:clientData/>
  </xdr:oneCellAnchor>
  <xdr:oneCellAnchor>
    <xdr:from>
      <xdr:col>3</xdr:col>
      <xdr:colOff>310116</xdr:colOff>
      <xdr:row>6</xdr:row>
      <xdr:rowOff>243662</xdr:rowOff>
    </xdr:from>
    <xdr:ext cx="729249" cy="729249"/>
    <xdr:pic>
      <xdr:nvPicPr>
        <xdr:cNvPr id="8" name="Picture 7">
          <a:extLst>
            <a:ext uri="{FF2B5EF4-FFF2-40B4-BE49-F238E27FC236}">
              <a16:creationId xmlns:a16="http://schemas.microsoft.com/office/drawing/2014/main" id="{890A11A5-DC3C-4DC8-92F4-B856C8183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4616" y="1396187"/>
          <a:ext cx="729249" cy="729249"/>
        </a:xfrm>
        <a:prstGeom prst="rect">
          <a:avLst/>
        </a:prstGeom>
      </xdr:spPr>
    </xdr:pic>
    <xdr:clientData/>
  </xdr:oneCellAnchor>
  <xdr:oneCellAnchor>
    <xdr:from>
      <xdr:col>6</xdr:col>
      <xdr:colOff>99680</xdr:colOff>
      <xdr:row>8</xdr:row>
      <xdr:rowOff>22151</xdr:rowOff>
    </xdr:from>
    <xdr:ext cx="1164437" cy="829128"/>
    <xdr:pic>
      <xdr:nvPicPr>
        <xdr:cNvPr id="9" name="Picture 8">
          <a:extLst>
            <a:ext uri="{FF2B5EF4-FFF2-40B4-BE49-F238E27FC236}">
              <a16:creationId xmlns:a16="http://schemas.microsoft.com/office/drawing/2014/main" id="{F101D734-DBC6-46FE-AB99-764FF5E51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8680" y="1622351"/>
          <a:ext cx="1164437" cy="829128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76200</xdr:rowOff>
    </xdr:from>
    <xdr:ext cx="1289930" cy="638762"/>
    <xdr:pic>
      <xdr:nvPicPr>
        <xdr:cNvPr id="10" name="Picture 9">
          <a:extLst>
            <a:ext uri="{FF2B5EF4-FFF2-40B4-BE49-F238E27FC236}">
              <a16:creationId xmlns:a16="http://schemas.microsoft.com/office/drawing/2014/main" id="{4CA3D88D-6A2D-45AF-9D40-9EA82E94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876300"/>
          <a:ext cx="1289930" cy="63876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299040</xdr:colOff>
      <xdr:row>4</xdr:row>
      <xdr:rowOff>210436</xdr:rowOff>
    </xdr:from>
    <xdr:to>
      <xdr:col>3</xdr:col>
      <xdr:colOff>1052180</xdr:colOff>
      <xdr:row>4</xdr:row>
      <xdr:rowOff>956404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156" y="1749942"/>
          <a:ext cx="753140" cy="745968"/>
        </a:xfrm>
        <a:prstGeom prst="rect">
          <a:avLst/>
        </a:prstGeom>
      </xdr:spPr>
    </xdr:pic>
    <xdr:clientData/>
  </xdr:twoCellAnchor>
  <xdr:twoCellAnchor editAs="oneCell">
    <xdr:from>
      <xdr:col>2</xdr:col>
      <xdr:colOff>66452</xdr:colOff>
      <xdr:row>8</xdr:row>
      <xdr:rowOff>55380</xdr:rowOff>
    </xdr:from>
    <xdr:to>
      <xdr:col>2</xdr:col>
      <xdr:colOff>1317993</xdr:colOff>
      <xdr:row>8</xdr:row>
      <xdr:rowOff>852821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196" y="3920758"/>
          <a:ext cx="1251541" cy="797441"/>
        </a:xfrm>
        <a:prstGeom prst="rect">
          <a:avLst/>
        </a:prstGeom>
      </xdr:spPr>
    </xdr:pic>
    <xdr:clientData/>
  </xdr:twoCellAnchor>
  <xdr:twoCellAnchor editAs="oneCell">
    <xdr:from>
      <xdr:col>5</xdr:col>
      <xdr:colOff>232586</xdr:colOff>
      <xdr:row>5</xdr:row>
      <xdr:rowOff>88604</xdr:rowOff>
    </xdr:from>
    <xdr:to>
      <xdr:col>5</xdr:col>
      <xdr:colOff>1185087</xdr:colOff>
      <xdr:row>6</xdr:row>
      <xdr:rowOff>924181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9446" y="2613837"/>
          <a:ext cx="952501" cy="10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150120</xdr:colOff>
      <xdr:row>11</xdr:row>
      <xdr:rowOff>55379</xdr:rowOff>
    </xdr:from>
    <xdr:to>
      <xdr:col>4</xdr:col>
      <xdr:colOff>1218313</xdr:colOff>
      <xdr:row>12</xdr:row>
      <xdr:rowOff>943320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608" y="6069420"/>
          <a:ext cx="1068193" cy="1065150"/>
        </a:xfrm>
        <a:prstGeom prst="rect">
          <a:avLst/>
        </a:prstGeom>
      </xdr:spPr>
    </xdr:pic>
    <xdr:clientData/>
  </xdr:twoCellAnchor>
  <xdr:twoCellAnchor editAs="oneCell">
    <xdr:from>
      <xdr:col>0</xdr:col>
      <xdr:colOff>88606</xdr:colOff>
      <xdr:row>10</xdr:row>
      <xdr:rowOff>44302</xdr:rowOff>
    </xdr:from>
    <xdr:to>
      <xdr:col>0</xdr:col>
      <xdr:colOff>1295348</xdr:colOff>
      <xdr:row>10</xdr:row>
      <xdr:rowOff>930349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06" y="5072616"/>
          <a:ext cx="1206742" cy="886047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12</xdr:row>
      <xdr:rowOff>114300</xdr:rowOff>
    </xdr:from>
    <xdr:to>
      <xdr:col>6</xdr:col>
      <xdr:colOff>1337555</xdr:colOff>
      <xdr:row>12</xdr:row>
      <xdr:rowOff>753062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7225" y="6343650"/>
          <a:ext cx="1289930" cy="638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131579</xdr:colOff>
      <xdr:row>4</xdr:row>
      <xdr:rowOff>232587</xdr:rowOff>
    </xdr:from>
    <xdr:to>
      <xdr:col>4</xdr:col>
      <xdr:colOff>1298690</xdr:colOff>
      <xdr:row>4</xdr:row>
      <xdr:rowOff>933450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779" y="2947212"/>
          <a:ext cx="1167111" cy="700863"/>
        </a:xfrm>
        <a:prstGeom prst="rect">
          <a:avLst/>
        </a:prstGeom>
      </xdr:spPr>
    </xdr:pic>
    <xdr:clientData/>
  </xdr:twoCellAnchor>
  <xdr:twoCellAnchor editAs="oneCell">
    <xdr:from>
      <xdr:col>3</xdr:col>
      <xdr:colOff>299041</xdr:colOff>
      <xdr:row>8</xdr:row>
      <xdr:rowOff>151735</xdr:rowOff>
    </xdr:from>
    <xdr:to>
      <xdr:col>3</xdr:col>
      <xdr:colOff>1107558</xdr:colOff>
      <xdr:row>8</xdr:row>
      <xdr:rowOff>965125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  <a:ext uri="{147F2762-F138-4A5C-976F-8EAC2B608ADB}">
              <a16:predDERef xmlns:a16="http://schemas.microsoft.com/office/drawing/2014/main" pre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841" y="4037935"/>
          <a:ext cx="808517" cy="813390"/>
        </a:xfrm>
        <a:prstGeom prst="rect">
          <a:avLst/>
        </a:prstGeom>
      </xdr:spPr>
    </xdr:pic>
    <xdr:clientData/>
  </xdr:twoCellAnchor>
  <xdr:twoCellAnchor editAs="oneCell">
    <xdr:from>
      <xdr:col>2</xdr:col>
      <xdr:colOff>210935</xdr:colOff>
      <xdr:row>11</xdr:row>
      <xdr:rowOff>121832</xdr:rowOff>
    </xdr:from>
    <xdr:to>
      <xdr:col>2</xdr:col>
      <xdr:colOff>1202231</xdr:colOff>
      <xdr:row>13</xdr:row>
      <xdr:rowOff>749376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679" y="6135873"/>
          <a:ext cx="991296" cy="985728"/>
        </a:xfrm>
        <a:prstGeom prst="rect">
          <a:avLst/>
        </a:prstGeom>
      </xdr:spPr>
    </xdr:pic>
    <xdr:clientData/>
  </xdr:twoCellAnchor>
  <xdr:twoCellAnchor editAs="oneCell">
    <xdr:from>
      <xdr:col>0</xdr:col>
      <xdr:colOff>283277</xdr:colOff>
      <xdr:row>5</xdr:row>
      <xdr:rowOff>102782</xdr:rowOff>
    </xdr:from>
    <xdr:to>
      <xdr:col>0</xdr:col>
      <xdr:colOff>1012309</xdr:colOff>
      <xdr:row>6</xdr:row>
      <xdr:rowOff>933451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277" y="2636432"/>
          <a:ext cx="729032" cy="1011644"/>
        </a:xfrm>
        <a:prstGeom prst="rect">
          <a:avLst/>
        </a:prstGeom>
      </xdr:spPr>
    </xdr:pic>
    <xdr:clientData/>
  </xdr:twoCellAnchor>
  <xdr:twoCellAnchor editAs="oneCell">
    <xdr:from>
      <xdr:col>5</xdr:col>
      <xdr:colOff>85504</xdr:colOff>
      <xdr:row>10</xdr:row>
      <xdr:rowOff>146627</xdr:rowOff>
    </xdr:from>
    <xdr:to>
      <xdr:col>5</xdr:col>
      <xdr:colOff>1273439</xdr:colOff>
      <xdr:row>10</xdr:row>
      <xdr:rowOff>940095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504" y="5204402"/>
          <a:ext cx="1187935" cy="79346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114300</xdr:rowOff>
    </xdr:from>
    <xdr:to>
      <xdr:col>1</xdr:col>
      <xdr:colOff>1347080</xdr:colOff>
      <xdr:row>4</xdr:row>
      <xdr:rowOff>753062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0" y="1657350"/>
          <a:ext cx="1289930" cy="638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299040</xdr:colOff>
      <xdr:row>4</xdr:row>
      <xdr:rowOff>221512</xdr:rowOff>
    </xdr:from>
    <xdr:to>
      <xdr:col>4</xdr:col>
      <xdr:colOff>1074331</xdr:colOff>
      <xdr:row>4</xdr:row>
      <xdr:rowOff>941423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528" y="1727791"/>
          <a:ext cx="775291" cy="719911"/>
        </a:xfrm>
        <a:prstGeom prst="rect">
          <a:avLst/>
        </a:prstGeom>
      </xdr:spPr>
    </xdr:pic>
    <xdr:clientData/>
  </xdr:twoCellAnchor>
  <xdr:twoCellAnchor editAs="oneCell">
    <xdr:from>
      <xdr:col>2</xdr:col>
      <xdr:colOff>276888</xdr:colOff>
      <xdr:row>5</xdr:row>
      <xdr:rowOff>78071</xdr:rowOff>
    </xdr:from>
    <xdr:to>
      <xdr:col>2</xdr:col>
      <xdr:colOff>1229389</xdr:colOff>
      <xdr:row>6</xdr:row>
      <xdr:rowOff>891804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632" y="2570077"/>
          <a:ext cx="952501" cy="990943"/>
        </a:xfrm>
        <a:prstGeom prst="rect">
          <a:avLst/>
        </a:prstGeom>
      </xdr:spPr>
    </xdr:pic>
    <xdr:clientData/>
  </xdr:twoCellAnchor>
  <xdr:twoCellAnchor editAs="oneCell">
    <xdr:from>
      <xdr:col>5</xdr:col>
      <xdr:colOff>167182</xdr:colOff>
      <xdr:row>7</xdr:row>
      <xdr:rowOff>169151</xdr:rowOff>
    </xdr:from>
    <xdr:to>
      <xdr:col>5</xdr:col>
      <xdr:colOff>1274695</xdr:colOff>
      <xdr:row>8</xdr:row>
      <xdr:rowOff>886046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042" y="3824093"/>
          <a:ext cx="1107513" cy="894105"/>
        </a:xfrm>
        <a:prstGeom prst="rect">
          <a:avLst/>
        </a:prstGeom>
      </xdr:spPr>
    </xdr:pic>
    <xdr:clientData/>
  </xdr:twoCellAnchor>
  <xdr:twoCellAnchor editAs="oneCell">
    <xdr:from>
      <xdr:col>1</xdr:col>
      <xdr:colOff>387645</xdr:colOff>
      <xdr:row>11</xdr:row>
      <xdr:rowOff>77529</xdr:rowOff>
    </xdr:from>
    <xdr:to>
      <xdr:col>1</xdr:col>
      <xdr:colOff>1161413</xdr:colOff>
      <xdr:row>12</xdr:row>
      <xdr:rowOff>915099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8" t="13117" r="19068" b="23420"/>
        <a:stretch/>
      </xdr:blipFill>
      <xdr:spPr>
        <a:xfrm>
          <a:off x="1761017" y="6058343"/>
          <a:ext cx="773768" cy="101477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104775</xdr:rowOff>
    </xdr:from>
    <xdr:to>
      <xdr:col>0</xdr:col>
      <xdr:colOff>1328030</xdr:colOff>
      <xdr:row>4</xdr:row>
      <xdr:rowOff>743537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1647825"/>
          <a:ext cx="1289930" cy="638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12</xdr:row>
      <xdr:rowOff>173579</xdr:rowOff>
    </xdr:from>
    <xdr:to>
      <xdr:col>5</xdr:col>
      <xdr:colOff>1057275</xdr:colOff>
      <xdr:row>12</xdr:row>
      <xdr:rowOff>987657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6402929"/>
          <a:ext cx="809625" cy="814078"/>
        </a:xfrm>
        <a:prstGeom prst="rect">
          <a:avLst/>
        </a:prstGeom>
      </xdr:spPr>
    </xdr:pic>
    <xdr:clientData/>
  </xdr:twoCellAnchor>
  <xdr:twoCellAnchor editAs="oneCell">
    <xdr:from>
      <xdr:col>6</xdr:col>
      <xdr:colOff>184813</xdr:colOff>
      <xdr:row>4</xdr:row>
      <xdr:rowOff>38101</xdr:rowOff>
    </xdr:from>
    <xdr:to>
      <xdr:col>6</xdr:col>
      <xdr:colOff>1219200</xdr:colOff>
      <xdr:row>4</xdr:row>
      <xdr:rowOff>952500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4413" y="1581151"/>
          <a:ext cx="1034387" cy="914399"/>
        </a:xfrm>
        <a:prstGeom prst="rect">
          <a:avLst/>
        </a:prstGeom>
      </xdr:spPr>
    </xdr:pic>
    <xdr:clientData/>
  </xdr:twoCellAnchor>
  <xdr:twoCellAnchor editAs="oneCell">
    <xdr:from>
      <xdr:col>4</xdr:col>
      <xdr:colOff>254743</xdr:colOff>
      <xdr:row>7</xdr:row>
      <xdr:rowOff>157751</xdr:rowOff>
    </xdr:from>
    <xdr:to>
      <xdr:col>4</xdr:col>
      <xdr:colOff>1152525</xdr:colOff>
      <xdr:row>8</xdr:row>
      <xdr:rowOff>924995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143" y="3862976"/>
          <a:ext cx="897782" cy="948219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</xdr:row>
      <xdr:rowOff>133350</xdr:rowOff>
    </xdr:from>
    <xdr:to>
      <xdr:col>2</xdr:col>
      <xdr:colOff>1082488</xdr:colOff>
      <xdr:row>4</xdr:row>
      <xdr:rowOff>828675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800-000006000000}"/>
            </a:ext>
            <a:ext uri="{147F2762-F138-4A5C-976F-8EAC2B608ADB}">
              <a16:predDERef xmlns:a16="http://schemas.microsoft.com/office/drawing/2014/main" pre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5425"/>
          <a:ext cx="1958788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183530</xdr:colOff>
      <xdr:row>10</xdr:row>
      <xdr:rowOff>7576</xdr:rowOff>
    </xdr:from>
    <xdr:to>
      <xdr:col>1</xdr:col>
      <xdr:colOff>1285875</xdr:colOff>
      <xdr:row>10</xdr:row>
      <xdr:rowOff>947194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130" y="5065351"/>
          <a:ext cx="1102345" cy="93961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12</xdr:row>
      <xdr:rowOff>76200</xdr:rowOff>
    </xdr:from>
    <xdr:to>
      <xdr:col>6</xdr:col>
      <xdr:colOff>1318505</xdr:colOff>
      <xdr:row>12</xdr:row>
      <xdr:rowOff>714962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8175" y="6305550"/>
          <a:ext cx="1289930" cy="638762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youtube.com/watch?v=YRk3ew-jZMA" TargetMode="External"/><Relationship Id="rId7" Type="http://schemas.openxmlformats.org/officeDocument/2006/relationships/hyperlink" Target="https://wrasafeme.org/lesson/material-handling-101/" TargetMode="External"/><Relationship Id="rId2" Type="http://schemas.openxmlformats.org/officeDocument/2006/relationships/hyperlink" Target="https://wrasafeme.org/lesson/fire-safety-101/" TargetMode="External"/><Relationship Id="rId1" Type="http://schemas.openxmlformats.org/officeDocument/2006/relationships/hyperlink" Target="https://www.shakeout.org/washington/dropcoverholdon/" TargetMode="External"/><Relationship Id="rId6" Type="http://schemas.openxmlformats.org/officeDocument/2006/relationships/hyperlink" Target="https://waretailservices.com/wp-content/uploads/2019/09/WIN-10-05-Pallet-Jack-Use.docx" TargetMode="External"/><Relationship Id="rId5" Type="http://schemas.openxmlformats.org/officeDocument/2006/relationships/hyperlink" Target="https://waretailservices.com/wp-content/uploads/2019/02/Working-Late-Parking-Lot-Tips.docx" TargetMode="External"/><Relationship Id="rId4" Type="http://schemas.openxmlformats.org/officeDocument/2006/relationships/hyperlink" Target="https://www.youtube.com/watch?v=yyZeA1YW5Os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s://youtu.be/AgaqgXUWeUM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s://waretailservices.com/wp-content/uploads/2019/10/Walking-is-Working-NSC-2019.pdf" TargetMode="External"/><Relationship Id="rId1" Type="http://schemas.openxmlformats.org/officeDocument/2006/relationships/hyperlink" Target="https://waretailservices.com/wp-content/uploads/2019/04/Quick-Tips-for-Lifting.pdf" TargetMode="External"/><Relationship Id="rId6" Type="http://schemas.openxmlformats.org/officeDocument/2006/relationships/hyperlink" Target="https://youtu.be/FmGQI3xokgc" TargetMode="External"/><Relationship Id="rId5" Type="http://schemas.openxmlformats.org/officeDocument/2006/relationships/hyperlink" Target="https://youtu.be/YNi9QI72mwo" TargetMode="External"/><Relationship Id="rId4" Type="http://schemas.openxmlformats.org/officeDocument/2006/relationships/hyperlink" Target="https://waretailservices.com/wp-content/uploads/2019/02/At-what-height-do-most-ladder-injuries-occur-2pg-2015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waretailservices.com/wp-content/uploads/2019/04/Developing-an-Attitude-for-Safety.pdf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aretailservices.com/wp-content/uploads/2019/04/Extension-Cord-Safety.pdf" TargetMode="External"/><Relationship Id="rId1" Type="http://schemas.openxmlformats.org/officeDocument/2006/relationships/hyperlink" Target="https://waretailservices.com/wp-content/uploads/2019/04/Quick-Tips-for-Lifting.pdf" TargetMode="External"/><Relationship Id="rId6" Type="http://schemas.openxmlformats.org/officeDocument/2006/relationships/hyperlink" Target="https://waretailservices.com/wp-content/uploads/2019/04/Ladder-Safety.pdf" TargetMode="External"/><Relationship Id="rId5" Type="http://schemas.openxmlformats.org/officeDocument/2006/relationships/hyperlink" Target="https://www.youtube.com/watch?v=eIDwDsy_oR4" TargetMode="External"/><Relationship Id="rId4" Type="http://schemas.openxmlformats.org/officeDocument/2006/relationships/hyperlink" Target="https://waretailservices.com/wp-content/uploads/2019/04/Importance-of-Emergency-Prep-for-Non-Emergency-Employees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aretailservices.com/wp-content/uploads/2019/05/Box-Cutter-Tips.pdf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waretailservices.com/wp-content/uploads/2019/02/Fire-Extinguishers-NL.pdf" TargetMode="External"/><Relationship Id="rId1" Type="http://schemas.openxmlformats.org/officeDocument/2006/relationships/hyperlink" Target="https://waretailservices.com/wp-content/uploads/2019/05/Ladder-Safety-Tips-NL.docx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aretailservices.com/wp-content/uploads/2019/05/How-can-you-help-prevent-falls-NSC-2019.pdf" TargetMode="External"/><Relationship Id="rId4" Type="http://schemas.openxmlformats.org/officeDocument/2006/relationships/hyperlink" Target="https://waretailservices.com/wp-content/uploads/2019/04/Quick-Tips-for-Lifting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s://www.youtube.com/watch?v=JYgXBQLX2oA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s://www.youtube.com/watch?v=Lg-vibNXNkw" TargetMode="External"/><Relationship Id="rId1" Type="http://schemas.openxmlformats.org/officeDocument/2006/relationships/hyperlink" Target="../..\Safety%20Topics\Ladders\Ladder%20Injuries.docx" TargetMode="External"/><Relationship Id="rId6" Type="http://schemas.openxmlformats.org/officeDocument/2006/relationships/hyperlink" Target="https://www.youtube.com/watch?v=eIDwDsy_oR4" TargetMode="External"/><Relationship Id="rId5" Type="http://schemas.openxmlformats.org/officeDocument/2006/relationships/hyperlink" Target="https://www.youtube.com/channel/UC_a6RgegBuDHVn71OcNKUbA/playlists" TargetMode="External"/><Relationship Id="rId4" Type="http://schemas.openxmlformats.org/officeDocument/2006/relationships/hyperlink" Target="https://apps.leg.wa.gov/WAC/default.aspx?cite=296-800-150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hyperlink" Target="https://waretailservices.com/wp-content/uploads/2019/04/Quick-Tips-for-Lifting.pdf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s://www.youtube.com/playlist?list=PL-_I4binSRgmxiz4vNuuRe-5RuQjxuo3K" TargetMode="External"/><Relationship Id="rId1" Type="http://schemas.openxmlformats.org/officeDocument/2006/relationships/hyperlink" Target="../..\Safety%20Topics\Ladders\Ladder%20Injuries.docx" TargetMode="External"/><Relationship Id="rId6" Type="http://schemas.openxmlformats.org/officeDocument/2006/relationships/hyperlink" Target="https://waretailservices.com/wp-content/uploads/2019/08/TireExplosionHazardAlert.pdf" TargetMode="External"/><Relationship Id="rId5" Type="http://schemas.openxmlformats.org/officeDocument/2006/relationships/hyperlink" Target="https://waretailservices.com/wp-content/uploads/2019/08/Prevent-Back-Injury-at-Work-1pg-2015.docx" TargetMode="External"/><Relationship Id="rId4" Type="http://schemas.openxmlformats.org/officeDocument/2006/relationships/hyperlink" Target="https://waretailservices.com/wp-content/uploads/2019/08/eye-health-checklist-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"/>
  <sheetViews>
    <sheetView showGridLines="0" zoomScaleNormal="100" workbookViewId="0">
      <selection activeCell="K7" sqref="K7"/>
    </sheetView>
  </sheetViews>
  <sheetFormatPr defaultColWidth="6.6640625" defaultRowHeight="15" x14ac:dyDescent="0.25"/>
  <cols>
    <col min="1" max="1" width="16.109375" style="7" customWidth="1"/>
    <col min="2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H1" s="8">
        <v>2024</v>
      </c>
    </row>
    <row r="2" spans="1:17" ht="57.75" customHeight="1" x14ac:dyDescent="0.25">
      <c r="A2" s="213" t="str">
        <f>UPPER(TEXT(DATE(CalendarYear,1,1),"mmmm yyyy"))</f>
        <v>JANUARY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41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42" t="s">
        <v>6</v>
      </c>
      <c r="H3" s="7"/>
      <c r="I3" s="7"/>
      <c r="K3" s="7"/>
      <c r="L3" s="9"/>
      <c r="P3" s="7"/>
      <c r="Q3" s="7"/>
    </row>
    <row r="4" spans="1:17" s="6" customFormat="1" ht="15" customHeight="1" x14ac:dyDescent="0.25">
      <c r="A4" s="18" t="str">
        <f>IF(DAY(JanSun1)=1,"",IF(AND(YEAR(JanSun1+1)=CalendarYear,MONTH(JanSun1+1)=1),JanSun1+1,""))</f>
        <v/>
      </c>
      <c r="B4" s="85">
        <f>IF(DAY(JanSun1)=1,"",IF(AND(YEAR(JanSun1+2)=CalendarYear,MONTH(JanSun1+2)=1),JanSun1+2,""))</f>
        <v>45292</v>
      </c>
      <c r="C4" s="92">
        <f>IF(DAY(JanSun1)=1,"",IF(AND(YEAR(JanSun1+3)=CalendarYear,MONTH(JanSun1+3)=1),JanSun1+3,""))</f>
        <v>45293</v>
      </c>
      <c r="D4" s="147">
        <f>IF(DAY(JanSun1)=1,"",IF(AND(YEAR(JanSun1+4)=CalendarYear,MONTH(JanSun1+4)=1),JanSun1+4,""))</f>
        <v>45294</v>
      </c>
      <c r="E4" s="143">
        <f>IF(DAY(JanSun1)=1,"",IF(AND(YEAR(JanSun1+5)=CalendarYear,MONTH(JanSun1+5)=1),JanSun1+5,""))</f>
        <v>45295</v>
      </c>
      <c r="F4" s="85">
        <f>IF(DAY(JanSun1)=1,"",IF(AND(YEAR(JanSun1+6)=CalendarYear,MONTH(JanSun1+6)=1),JanSun1+6,""))</f>
        <v>45296</v>
      </c>
      <c r="G4" s="19">
        <f>IF(DAY(JanSun1)=1,IF(AND(YEAR(JanSun1)=CalendarYear,MONTH(JanSun1)=1),JanSun1,""),IF(AND(YEAR(JanSun1+7)=CalendarYear,MONTH(JanSun1+7)=1),JanSun1+7,""))</f>
        <v>45297</v>
      </c>
      <c r="H4" s="1"/>
      <c r="J4" s="7"/>
      <c r="K4" s="7"/>
      <c r="L4" s="7"/>
      <c r="P4" s="10"/>
      <c r="Q4" s="7"/>
    </row>
    <row r="5" spans="1:17" s="10" customFormat="1" ht="77.25" customHeight="1" x14ac:dyDescent="0.25">
      <c r="A5" s="211" t="s">
        <v>7</v>
      </c>
      <c r="B5" s="44" t="s">
        <v>8</v>
      </c>
      <c r="C5" s="46" t="s">
        <v>9</v>
      </c>
      <c r="E5" s="145" t="s">
        <v>10</v>
      </c>
      <c r="F5" s="56" t="s">
        <v>11</v>
      </c>
      <c r="G5" s="49" t="s">
        <v>12</v>
      </c>
      <c r="H5" s="210"/>
    </row>
    <row r="6" spans="1:17" ht="14.25" customHeight="1" x14ac:dyDescent="0.25">
      <c r="A6" s="146">
        <f>IF(DAY(JanSun1)=1,IF(AND(YEAR(JanSun1+1)=CalendarYear,MONTH(JanSun1+1)=1),JanSun1+1,""),IF(AND(YEAR(JanSun1+8)=CalendarYear,MONTH(JanSun1+8)=1),JanSun1+8,""))</f>
        <v>45298</v>
      </c>
      <c r="B6" s="40">
        <f>IF(DAY(JanSun1)=1,IF(AND(YEAR(JanSun1+2)=CalendarYear,MONTH(JanSun1+2)=1),JanSun1+2,""),IF(AND(YEAR(JanSun1+9)=CalendarYear,MONTH(JanSun1+9)=1),JanSun1+9,""))</f>
        <v>45299</v>
      </c>
      <c r="C6" s="5">
        <f>IF(DAY(JanSun1)=1,IF(AND(YEAR(JanSun1+3)=CalendarYear,MONTH(JanSun1+3)=1),JanSun1+3,""),IF(AND(YEAR(JanSun1+10)=CalendarYear,MONTH(JanSun1+10)=1),JanSun1+10,""))</f>
        <v>45300</v>
      </c>
      <c r="D6" s="144">
        <f>IF(DAY(JanSun1)=1,IF(AND(YEAR(JanSun1+4)=CalendarYear,MONTH(JanSun1+4)=1),JanSun1+4,""),IF(AND(YEAR(JanSun1+11)=CalendarYear,MONTH(JanSun1+11)=1),JanSun1+11,""))</f>
        <v>45301</v>
      </c>
      <c r="E6" s="5">
        <f>IF(DAY(JanSun1)=1,IF(AND(YEAR(JanSun1+5)=CalendarYear,MONTH(JanSun1+5)=1),JanSun1+5,""),IF(AND(YEAR(JanSun1+12)=CalendarYear,MONTH(JanSun1+12)=1),JanSun1+12,""))</f>
        <v>45302</v>
      </c>
      <c r="F6" s="40">
        <f>IF(DAY(JanSun1)=1,IF(AND(YEAR(JanSun1+6)=CalendarYear,MONTH(JanSun1+6)=1),JanSun1+6,""),IF(AND(YEAR(JanSun1+13)=CalendarYear,MONTH(JanSun1+13)=1),JanSun1+13,""))</f>
        <v>45303</v>
      </c>
      <c r="G6" s="21">
        <f>IF(DAY(JanSun1)=1,IF(AND(YEAR(JanSun1+7)=CalendarYear,MONTH(JanSun1+7)=1),JanSun1+7,""),IF(AND(YEAR(JanSun1+14)=CalendarYear,MONTH(JanSun1+14)=1),JanSun1+14,""))</f>
        <v>45304</v>
      </c>
      <c r="H6" s="1"/>
    </row>
    <row r="7" spans="1:17" ht="77.25" customHeight="1" x14ac:dyDescent="0.25">
      <c r="A7" s="91" t="s">
        <v>13</v>
      </c>
      <c r="B7" s="75" t="s">
        <v>14</v>
      </c>
      <c r="C7" s="179" t="s">
        <v>15</v>
      </c>
      <c r="D7" s="75" t="s">
        <v>16</v>
      </c>
      <c r="E7" s="179" t="s">
        <v>17</v>
      </c>
      <c r="F7" s="148" t="s">
        <v>18</v>
      </c>
      <c r="G7" s="182" t="s">
        <v>19</v>
      </c>
      <c r="H7" s="1"/>
    </row>
    <row r="8" spans="1:17" ht="14.25" customHeight="1" x14ac:dyDescent="0.25">
      <c r="A8" s="18">
        <f>IF(DAY(JanSun1)=1,IF(AND(YEAR(JanSun1+8)=CalendarYear,MONTH(JanSun1+8)=1),JanSun1+8,""),IF(AND(YEAR(JanSun1+15)=CalendarYear,MONTH(JanSun1+15)=1),JanSun1+15,""))</f>
        <v>45305</v>
      </c>
      <c r="B8" s="85">
        <f>IF(DAY(JanSun1)=1,IF(AND(YEAR(JanSun1+9)=CalendarYear,MONTH(JanSun1+9)=1),JanSun1+9,""),IF(AND(YEAR(JanSun1+16)=CalendarYear,MONTH(JanSun1+16)=1),JanSun1+16,""))</f>
        <v>45306</v>
      </c>
      <c r="C8" s="2">
        <f>IF(DAY(JanSun1)=1,IF(AND(YEAR(JanSun1+10)=CalendarYear,MONTH(JanSun1+10)=1),JanSun1+10,""),IF(AND(YEAR(JanSun1+17)=CalendarYear,MONTH(JanSun1+17)=1),JanSun1+17,""))</f>
        <v>45307</v>
      </c>
      <c r="D8" s="85">
        <f>IF(DAY(JanSun1)=1,IF(AND(YEAR(JanSun1+11)=CalendarYear,MONTH(JanSun1+11)=1),JanSun1+11,""),IF(AND(YEAR(JanSun1+18)=CalendarYear,MONTH(JanSun1+18)=1),JanSun1+18,""))</f>
        <v>45308</v>
      </c>
      <c r="E8" s="2">
        <f>IF(DAY(JanSun1)=1,IF(AND(YEAR(JanSun1+12)=CalendarYear,MONTH(JanSun1+12)=1),JanSun1+12,""),IF(AND(YEAR(JanSun1+19)=CalendarYear,MONTH(JanSun1+19)=1),JanSun1+19,""))</f>
        <v>45309</v>
      </c>
      <c r="F8" s="85">
        <f>IF(DAY(JanSun1)=1,IF(AND(YEAR(JanSun1+13)=CalendarYear,MONTH(JanSun1+13)=1),JanSun1+13,""),IF(AND(YEAR(JanSun1+20)=CalendarYear,MONTH(JanSun1+20)=1),JanSun1+20,""))</f>
        <v>45310</v>
      </c>
      <c r="G8" s="19">
        <f>IF(DAY(JanSun1)=1,IF(AND(YEAR(JanSun1+14)=CalendarYear,MONTH(JanSun1+14)=1),JanSun1+14,""),IF(AND(YEAR(JanSun1+21)=CalendarYear,MONTH(JanSun1+21)=1),JanSun1+21,""))</f>
        <v>45311</v>
      </c>
      <c r="H8" s="1"/>
    </row>
    <row r="9" spans="1:17" ht="77.25" customHeight="1" x14ac:dyDescent="0.25">
      <c r="A9" s="25"/>
      <c r="B9" s="89" t="s">
        <v>20</v>
      </c>
      <c r="C9" s="46" t="s">
        <v>21</v>
      </c>
      <c r="D9" s="87" t="s">
        <v>22</v>
      </c>
      <c r="E9" s="46" t="s">
        <v>23</v>
      </c>
      <c r="F9" s="88" t="s">
        <v>24</v>
      </c>
      <c r="G9" s="49" t="s">
        <v>25</v>
      </c>
      <c r="H9" s="1"/>
      <c r="I9" s="81"/>
    </row>
    <row r="10" spans="1:17" ht="14.25" customHeight="1" x14ac:dyDescent="0.25">
      <c r="A10" s="20">
        <f>IF(DAY(JanSun1)=1,IF(AND(YEAR(JanSun1+15)=CalendarYear,MONTH(JanSun1+15)=1),JanSun1+15,""),IF(AND(YEAR(JanSun1+22)=CalendarYear,MONTH(JanSun1+22)=1),JanSun1+22,""))</f>
        <v>45312</v>
      </c>
      <c r="B10" s="40">
        <f>IF(DAY(JanSun1)=1,IF(AND(YEAR(JanSun1+16)=CalendarYear,MONTH(JanSun1+16)=1),JanSun1+16,""),IF(AND(YEAR(JanSun1+23)=CalendarYear,MONTH(JanSun1+23)=1),JanSun1+23,""))</f>
        <v>45313</v>
      </c>
      <c r="C10" s="5">
        <f>IF(DAY(JanSun1)=1,IF(AND(YEAR(JanSun1+17)=CalendarYear,MONTH(JanSun1+17)=1),JanSun1+17,""),IF(AND(YEAR(JanSun1+24)=CalendarYear,MONTH(JanSun1+24)=1),JanSun1+24,""))</f>
        <v>45314</v>
      </c>
      <c r="D10" s="40">
        <f>IF(DAY(JanSun1)=1,IF(AND(YEAR(JanSun1+18)=CalendarYear,MONTH(JanSun1+18)=1),JanSun1+18,""),IF(AND(YEAR(JanSun1+25)=CalendarYear,MONTH(JanSun1+25)=1),JanSun1+25,""))</f>
        <v>45315</v>
      </c>
      <c r="E10" s="5">
        <f>IF(DAY(JanSun1)=1,IF(AND(YEAR(JanSun1+19)=CalendarYear,MONTH(JanSun1+19)=1),JanSun1+19,""),IF(AND(YEAR(JanSun1+26)=CalendarYear,MONTH(JanSun1+26)=1),JanSun1+26,""))</f>
        <v>45316</v>
      </c>
      <c r="F10" s="40">
        <f>IF(DAY(JanSun1)=1,IF(AND(YEAR(JanSun1+20)=CalendarYear,MONTH(JanSun1+20)=1),JanSun1+20,""),IF(AND(YEAR(JanSun1+27)=CalendarYear,MONTH(JanSun1+27)=1),JanSun1+27,""))</f>
        <v>45317</v>
      </c>
      <c r="G10" s="21">
        <f>IF(DAY(JanSun1)=1,IF(AND(YEAR(JanSun1+21)=CalendarYear,MONTH(JanSun1+21)=1),JanSun1+21,""),IF(AND(YEAR(JanSun1+28)=CalendarYear,MONTH(JanSun1+28)=1),JanSun1+28,""))</f>
        <v>45318</v>
      </c>
      <c r="H10" s="1"/>
    </row>
    <row r="11" spans="1:17" ht="77.25" customHeight="1" x14ac:dyDescent="0.25">
      <c r="A11" s="91" t="s">
        <v>26</v>
      </c>
      <c r="B11" s="75" t="s">
        <v>27</v>
      </c>
      <c r="C11" s="84"/>
      <c r="D11" s="75" t="s">
        <v>28</v>
      </c>
      <c r="E11" s="179" t="s">
        <v>29</v>
      </c>
      <c r="F11" s="148" t="s">
        <v>30</v>
      </c>
      <c r="G11" s="182" t="s">
        <v>31</v>
      </c>
      <c r="H11" s="1"/>
    </row>
    <row r="12" spans="1:17" ht="14.25" customHeight="1" x14ac:dyDescent="0.25">
      <c r="A12" s="18">
        <f>IF(DAY(JanSun1)=1,IF(AND(YEAR(JanSun1+22)=CalendarYear,MONTH(JanSun1+22)=1),JanSun1+22,""),IF(AND(YEAR(JanSun1+29)=CalendarYear,MONTH(JanSun1+29)=1),JanSun1+29,""))</f>
        <v>45319</v>
      </c>
      <c r="B12" s="85">
        <f>IF(DAY(JanSun1)=1,IF(AND(YEAR(JanSun1+23)=CalendarYear,MONTH(JanSun1+23)=1),JanSun1+23,""),IF(AND(YEAR(JanSun1+30)=CalendarYear,MONTH(JanSun1+30)=1),JanSun1+30,""))</f>
        <v>45320</v>
      </c>
      <c r="C12" s="2">
        <f>IF(DAY(JanSun1)=1,IF(AND(YEAR(JanSun1+24)=CalendarYear,MONTH(JanSun1+24)=1),JanSun1+24,""),IF(AND(YEAR(JanSun1+31)=CalendarYear,MONTH(JanSun1+31)=1),JanSun1+31,""))</f>
        <v>45321</v>
      </c>
      <c r="D12" s="85">
        <f>IF(DAY(JanSun1)=1,IF(AND(YEAR(JanSun1+25)=CalendarYear,MONTH(JanSun1+25)=1),JanSun1+25,""),IF(AND(YEAR(JanSun1+32)=CalendarYear,MONTH(JanSun1+32)=1),JanSun1+32,""))</f>
        <v>45322</v>
      </c>
      <c r="E12" s="2" t="str">
        <f>IF(DAY(JanSun1)=1,IF(AND(YEAR(JanSun1+26)=CalendarYear,MONTH(JanSun1+26)=1),JanSun1+26,""),IF(AND(YEAR(JanSun1+33)=CalendarYear,MONTH(JanSun1+33)=1),JanSun1+33,""))</f>
        <v/>
      </c>
      <c r="F12" s="85" t="str">
        <f>IF(DAY(JanSun1)=1,IF(AND(YEAR(JanSun1+27)=CalendarYear,MONTH(JanSun1+27)=1),JanSun1+27,""),IF(AND(YEAR(JanSun1+34)=CalendarYear,MONTH(JanSun1+34)=1),JanSun1+34,""))</f>
        <v/>
      </c>
      <c r="G12" s="19" t="str">
        <f>IF(DAY(JanSun1)=1,IF(AND(YEAR(JanSun1+28)=CalendarYear,MONTH(JanSun1+28)=1),JanSun1+28,""),IF(AND(YEAR(JanSun1+35)=CalendarYear,MONTH(JanSun1+35)=1),JanSun1+35,""))</f>
        <v/>
      </c>
      <c r="H12" s="1"/>
    </row>
    <row r="13" spans="1:17" ht="77.25" customHeight="1" thickBot="1" x14ac:dyDescent="0.3">
      <c r="A13" s="71" t="s">
        <v>32</v>
      </c>
      <c r="B13" s="70" t="s">
        <v>33</v>
      </c>
      <c r="C13" s="180" t="s">
        <v>34</v>
      </c>
      <c r="D13" s="70"/>
      <c r="E13" s="180" t="s">
        <v>35</v>
      </c>
      <c r="F13" s="123" t="s">
        <v>36</v>
      </c>
      <c r="G13" s="183"/>
      <c r="H13" s="124"/>
    </row>
    <row r="14" spans="1:17" ht="15.75" customHeight="1" x14ac:dyDescent="0.25">
      <c r="A14" s="215" t="s">
        <v>37</v>
      </c>
      <c r="B14" s="215"/>
      <c r="C14" s="215"/>
      <c r="D14" s="215"/>
      <c r="E14" s="215"/>
      <c r="F14" s="215"/>
      <c r="G14" s="215"/>
    </row>
    <row r="15" spans="1:17" ht="21" customHeight="1" x14ac:dyDescent="0.25">
      <c r="B15" s="11"/>
      <c r="C15" s="12"/>
      <c r="D15" s="13"/>
    </row>
    <row r="16" spans="1:17" ht="19.5" customHeight="1" x14ac:dyDescent="0.25"/>
  </sheetData>
  <mergeCells count="2">
    <mergeCell ref="A2:E2"/>
    <mergeCell ref="A14:G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customProperties>
    <customPr name="SheetChange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7"/>
  <sheetViews>
    <sheetView showGridLines="0" showWhiteSpace="0" topLeftCell="A2" zoomScaleNormal="100" workbookViewId="0">
      <selection activeCell="E10" sqref="E10"/>
    </sheetView>
  </sheetViews>
  <sheetFormatPr defaultColWidth="6.6640625" defaultRowHeight="15" x14ac:dyDescent="0.25"/>
  <cols>
    <col min="1" max="7" width="16" style="7" customWidth="1"/>
    <col min="8" max="8" width="11.77734375" style="7" customWidth="1"/>
    <col min="9" max="9" width="11.33203125" style="7" customWidth="1"/>
    <col min="10" max="16384" width="6.6640625" style="7"/>
  </cols>
  <sheetData>
    <row r="1" spans="1:11" ht="20.25" customHeight="1" thickBot="1" x14ac:dyDescent="0.3">
      <c r="A1" s="26"/>
      <c r="B1" s="22"/>
      <c r="C1" s="22"/>
      <c r="D1" s="22"/>
      <c r="E1" s="22"/>
      <c r="F1" s="22"/>
      <c r="G1" s="23"/>
    </row>
    <row r="2" spans="1:11" ht="57.75" customHeight="1" x14ac:dyDescent="0.25">
      <c r="A2" s="213" t="str">
        <f>UPPER(TEXT(DATE(CalendarYear,10,1),"mmmm yyyy"))</f>
        <v>OCTOBER 2024</v>
      </c>
      <c r="B2" s="214"/>
      <c r="C2" s="214"/>
      <c r="D2" s="214"/>
      <c r="E2" s="214"/>
      <c r="F2" s="22"/>
      <c r="G2" s="23"/>
    </row>
    <row r="3" spans="1:11" s="6" customFormat="1" ht="29.25" customHeight="1" x14ac:dyDescent="0.25">
      <c r="A3" s="113" t="s">
        <v>0</v>
      </c>
      <c r="B3" s="114" t="s">
        <v>1</v>
      </c>
      <c r="C3" s="114" t="s">
        <v>2</v>
      </c>
      <c r="D3" s="114" t="s">
        <v>3</v>
      </c>
      <c r="E3" s="114" t="s">
        <v>4</v>
      </c>
      <c r="F3" s="114" t="s">
        <v>5</v>
      </c>
      <c r="G3" s="115" t="s">
        <v>6</v>
      </c>
      <c r="J3" s="7"/>
      <c r="K3" s="7"/>
    </row>
    <row r="4" spans="1:11" s="6" customFormat="1" ht="14.25" customHeight="1" x14ac:dyDescent="0.25">
      <c r="A4" s="18" t="str">
        <f>IF(DAY(OctSun1)=1,"",IF(AND(YEAR(OctSun1+1)=CalendarYear,MONTH(OctSun1+1)=10),OctSun1+1,""))</f>
        <v/>
      </c>
      <c r="B4" s="85" t="str">
        <f>IF(DAY(OctSun1)=1,"",IF(AND(YEAR(OctSun1+2)=CalendarYear,MONTH(OctSun1+2)=10),OctSun1+2,""))</f>
        <v/>
      </c>
      <c r="C4" s="192">
        <f>IF(DAY(OctSun1)=1,"",IF(AND(YEAR(OctSun1+3)=CalendarYear,MONTH(OctSun1+3)=10),OctSun1+3,""))</f>
        <v>45566</v>
      </c>
      <c r="D4" s="85">
        <f>IF(DAY(OctSun1)=1,"",IF(AND(YEAR(OctSun1+4)=CalendarYear,MONTH(OctSun1+4)=10),OctSun1+4,""))</f>
        <v>45567</v>
      </c>
      <c r="E4" s="2">
        <f>IF(DAY(OctSun1)=1,"",IF(AND(YEAR(OctSun1+5)=CalendarYear,MONTH(OctSun1+5)=10),OctSun1+5,""))</f>
        <v>45568</v>
      </c>
      <c r="F4" s="85">
        <f>IF(DAY(OctSun1)=1,"",IF(AND(YEAR(OctSun1+6)=CalendarYear,MONTH(OctSun1+6)=10),OctSun1+6,""))</f>
        <v>45569</v>
      </c>
      <c r="G4" s="19">
        <f>IF(DAY(OctSun1)=1,IF(AND(YEAR(OctSun1)=CalendarYear,MONTH(OctSun1)=10),OctSun1,""),IF(AND(YEAR(OctSun1+7)=CalendarYear,MONTH(OctSun1+7)=10),OctSun1+7,""))</f>
        <v>45570</v>
      </c>
      <c r="J4" s="10"/>
      <c r="K4" s="7"/>
    </row>
    <row r="5" spans="1:11" s="10" customFormat="1" ht="78" customHeight="1" x14ac:dyDescent="0.25">
      <c r="A5" s="198" t="s">
        <v>257</v>
      </c>
      <c r="B5" s="193"/>
      <c r="C5" s="197" t="s">
        <v>258</v>
      </c>
      <c r="D5" s="191" t="s">
        <v>259</v>
      </c>
      <c r="E5" s="190" t="s">
        <v>260</v>
      </c>
      <c r="F5" s="116"/>
      <c r="G5" s="49" t="s">
        <v>261</v>
      </c>
    </row>
    <row r="6" spans="1:11" ht="14.25" customHeight="1" x14ac:dyDescent="0.25">
      <c r="A6" s="20">
        <f>IF(DAY(OctSun1)=1,IF(AND(YEAR(OctSun1+1)=CalendarYear,MONTH(OctSun1+1)=10),OctSun1+1,""),IF(AND(YEAR(OctSun1+8)=CalendarYear,MONTH(OctSun1+8)=10),OctSun1+8,""))</f>
        <v>45571</v>
      </c>
      <c r="B6" s="40">
        <f>IF(DAY(OctSun1)=1,IF(AND(YEAR(OctSun1+2)=CalendarYear,MONTH(OctSun1+2)=10),OctSun1+2,""),IF(AND(YEAR(OctSun1+9)=CalendarYear,MONTH(OctSun1+9)=10),OctSun1+9,""))</f>
        <v>45572</v>
      </c>
      <c r="C6" s="5">
        <f>IF(DAY(OctSun1)=1,IF(AND(YEAR(OctSun1+3)=CalendarYear,MONTH(OctSun1+3)=10),OctSun1+3,""),IF(AND(YEAR(OctSun1+10)=CalendarYear,MONTH(OctSun1+10)=10),OctSun1+10,""))</f>
        <v>45573</v>
      </c>
      <c r="D6" s="40">
        <f>IF(DAY(OctSun1)=1,IF(AND(YEAR(OctSun1+4)=CalendarYear,MONTH(OctSun1+4)=10),OctSun1+4,""),IF(AND(YEAR(OctSun1+11)=CalendarYear,MONTH(OctSun1+11)=10),OctSun1+11,""))</f>
        <v>45574</v>
      </c>
      <c r="E6" s="5">
        <f>IF(DAY(OctSun1)=1,IF(AND(YEAR(OctSun1+5)=CalendarYear,MONTH(OctSun1+5)=10),OctSun1+5,""),IF(AND(YEAR(OctSun1+12)=CalendarYear,MONTH(OctSun1+12)=10),OctSun1+12,""))</f>
        <v>45575</v>
      </c>
      <c r="F6" s="40">
        <f>IF(DAY(OctSun1)=1,IF(AND(YEAR(OctSun1+6)=CalendarYear,MONTH(OctSun1+6)=10),OctSun1+6,""),IF(AND(YEAR(OctSun1+13)=CalendarYear,MONTH(OctSun1+13)=10),OctSun1+13,""))</f>
        <v>45576</v>
      </c>
      <c r="G6" s="21">
        <f>IF(DAY(OctSun1)=1,IF(AND(YEAR(OctSun1+7)=CalendarYear,MONTH(OctSun1+7)=10),OctSun1+7,""),IF(AND(YEAR(OctSun1+14)=CalendarYear,MONTH(OctSun1+14)=10),OctSun1+14,""))</f>
        <v>45577</v>
      </c>
    </row>
    <row r="7" spans="1:11" ht="78" customHeight="1" x14ac:dyDescent="0.25">
      <c r="A7" s="91" t="s">
        <v>262</v>
      </c>
      <c r="B7" s="136" t="s">
        <v>263</v>
      </c>
      <c r="C7" s="46" t="s">
        <v>264</v>
      </c>
      <c r="D7" s="75" t="s">
        <v>265</v>
      </c>
      <c r="E7" s="179" t="s">
        <v>266</v>
      </c>
      <c r="F7" s="138" t="s">
        <v>267</v>
      </c>
      <c r="G7" s="182"/>
    </row>
    <row r="8" spans="1:11" ht="14.25" customHeight="1" x14ac:dyDescent="0.25">
      <c r="A8" s="18">
        <f>IF(DAY(OctSun1)=1,IF(AND(YEAR(OctSun1+8)=CalendarYear,MONTH(OctSun1+8)=10),OctSun1+8,""),IF(AND(YEAR(OctSun1+15)=CalendarYear,MONTH(OctSun1+15)=10),OctSun1+15,""))</f>
        <v>45578</v>
      </c>
      <c r="B8" s="85">
        <f>IF(DAY(OctSun1)=1,IF(AND(YEAR(OctSun1+9)=CalendarYear,MONTH(OctSun1+9)=10),OctSun1+9,""),IF(AND(YEAR(OctSun1+16)=CalendarYear,MONTH(OctSun1+16)=10),OctSun1+16,""))</f>
        <v>45579</v>
      </c>
      <c r="C8" s="2">
        <f>IF(DAY(OctSun1)=1,IF(AND(YEAR(OctSun1+10)=CalendarYear,MONTH(OctSun1+10)=10),OctSun1+10,""),IF(AND(YEAR(OctSun1+17)=CalendarYear,MONTH(OctSun1+17)=10),OctSun1+17,""))</f>
        <v>45580</v>
      </c>
      <c r="D8" s="85">
        <f>IF(DAY(OctSun1)=1,IF(AND(YEAR(OctSun1+11)=CalendarYear,MONTH(OctSun1+11)=10),OctSun1+11,""),IF(AND(YEAR(OctSun1+18)=CalendarYear,MONTH(OctSun1+18)=10),OctSun1+18,""))</f>
        <v>45581</v>
      </c>
      <c r="E8" s="2">
        <f>IF(DAY(OctSun1)=1,IF(AND(YEAR(OctSun1+12)=CalendarYear,MONTH(OctSun1+12)=10),OctSun1+12,""),IF(AND(YEAR(OctSun1+19)=CalendarYear,MONTH(OctSun1+19)=10),OctSun1+19,""))</f>
        <v>45582</v>
      </c>
      <c r="F8" s="85">
        <f>IF(DAY(OctSun1)=1,IF(AND(YEAR(OctSun1+13)=CalendarYear,MONTH(OctSun1+13)=10),OctSun1+13,""),IF(AND(YEAR(OctSun1+20)=CalendarYear,MONTH(OctSun1+20)=10),OctSun1+20,""))</f>
        <v>45583</v>
      </c>
      <c r="G8" s="19">
        <f>IF(DAY(OctSun1)=1,IF(AND(YEAR(OctSun1+14)=CalendarYear,MONTH(OctSun1+14)=10),OctSun1+14,""),IF(AND(YEAR(OctSun1+21)=CalendarYear,MONTH(OctSun1+21)=10),OctSun1+21,""))</f>
        <v>45584</v>
      </c>
    </row>
    <row r="9" spans="1:11" ht="78" customHeight="1" x14ac:dyDescent="0.25">
      <c r="A9" s="55" t="s">
        <v>268</v>
      </c>
      <c r="B9" s="87" t="s">
        <v>269</v>
      </c>
      <c r="C9" s="126"/>
      <c r="D9" s="145" t="s">
        <v>270</v>
      </c>
      <c r="E9" s="194" t="s">
        <v>271</v>
      </c>
      <c r="F9" s="46" t="s">
        <v>272</v>
      </c>
      <c r="G9" s="189" t="s">
        <v>273</v>
      </c>
    </row>
    <row r="10" spans="1:11" ht="14.25" customHeight="1" x14ac:dyDescent="0.25">
      <c r="A10" s="20">
        <f>IF(DAY(OctSun1)=1,IF(AND(YEAR(OctSun1+15)=CalendarYear,MONTH(OctSun1+15)=10),OctSun1+15,""),IF(AND(YEAR(OctSun1+22)=CalendarYear,MONTH(OctSun1+22)=10),OctSun1+22,""))</f>
        <v>45585</v>
      </c>
      <c r="B10" s="40">
        <f>IF(DAY(OctSun1)=1,IF(AND(YEAR(OctSun1+16)=CalendarYear,MONTH(OctSun1+16)=10),OctSun1+16,""),IF(AND(YEAR(OctSun1+23)=CalendarYear,MONTH(OctSun1+23)=10),OctSun1+23,""))</f>
        <v>45586</v>
      </c>
      <c r="C10" s="5">
        <f>IF(DAY(OctSun1)=1,IF(AND(YEAR(OctSun1+17)=CalendarYear,MONTH(OctSun1+17)=10),OctSun1+17,""),IF(AND(YEAR(OctSun1+24)=CalendarYear,MONTH(OctSun1+24)=10),OctSun1+24,""))</f>
        <v>45587</v>
      </c>
      <c r="D10" s="40">
        <f>IF(DAY(OctSun1)=1,IF(AND(YEAR(OctSun1+18)=CalendarYear,MONTH(OctSun1+18)=10),OctSun1+18,""),IF(AND(YEAR(OctSun1+25)=CalendarYear,MONTH(OctSun1+25)=10),OctSun1+25,""))</f>
        <v>45588</v>
      </c>
      <c r="E10" s="5">
        <f>IF(DAY(OctSun1)=1,IF(AND(YEAR(OctSun1+19)=CalendarYear,MONTH(OctSun1+19)=10),OctSun1+19,""),IF(AND(YEAR(OctSun1+26)=CalendarYear,MONTH(OctSun1+26)=10),OctSun1+26,""))</f>
        <v>45589</v>
      </c>
      <c r="F10" s="40">
        <f>IF(DAY(OctSun1)=1,IF(AND(YEAR(OctSun1+20)=CalendarYear,MONTH(OctSun1+20)=10),OctSun1+20,""),IF(AND(YEAR(OctSun1+27)=CalendarYear,MONTH(OctSun1+27)=10),OctSun1+27,""))</f>
        <v>45590</v>
      </c>
      <c r="G10" s="21">
        <f>IF(DAY(OctSun1)=1,IF(AND(YEAR(OctSun1+21)=CalendarYear,MONTH(OctSun1+21)=10),OctSun1+21,""),IF(AND(YEAR(OctSun1+28)=CalendarYear,MONTH(OctSun1+28)=10),OctSun1+28,""))</f>
        <v>45591</v>
      </c>
    </row>
    <row r="11" spans="1:11" ht="78" customHeight="1" x14ac:dyDescent="0.25">
      <c r="A11" s="117" t="s">
        <v>274</v>
      </c>
      <c r="B11" s="75" t="s">
        <v>275</v>
      </c>
      <c r="C11" s="179" t="s">
        <v>276</v>
      </c>
      <c r="D11" s="75" t="s">
        <v>277</v>
      </c>
      <c r="E11" s="196" t="s">
        <v>278</v>
      </c>
      <c r="F11" s="83" t="s">
        <v>279</v>
      </c>
      <c r="G11" s="140" t="s">
        <v>280</v>
      </c>
    </row>
    <row r="12" spans="1:11" ht="14.25" customHeight="1" x14ac:dyDescent="0.25">
      <c r="A12" s="18">
        <f>IF(DAY(OctSun1)=1,IF(AND(YEAR(OctSun1+22)=CalendarYear,MONTH(OctSun1+22)=10),OctSun1+22,""),IF(AND(YEAR(OctSun1+29)=CalendarYear,MONTH(OctSun1+29)=10),OctSun1+29,""))</f>
        <v>45592</v>
      </c>
      <c r="B12" s="85">
        <f>IF(DAY(OctSun1)=1,IF(AND(YEAR(OctSun1+23)=CalendarYear,MONTH(OctSun1+23)=10),OctSun1+23,""),IF(AND(YEAR(OctSun1+30)=CalendarYear,MONTH(OctSun1+30)=10),OctSun1+30,""))</f>
        <v>45593</v>
      </c>
      <c r="C12" s="2">
        <f>IF(DAY(OctSun1)=1,IF(AND(YEAR(OctSun1+24)=CalendarYear,MONTH(OctSun1+24)=10),OctSun1+24,""),IF(AND(YEAR(OctSun1+31)=CalendarYear,MONTH(OctSun1+31)=10),OctSun1+31,""))</f>
        <v>45594</v>
      </c>
      <c r="D12" s="85">
        <f>IF(DAY(OctSun1)=1,IF(AND(YEAR(OctSun1+25)=CalendarYear,MONTH(OctSun1+25)=10),OctSun1+25,""),IF(AND(YEAR(OctSun1+32)=CalendarYear,MONTH(OctSun1+32)=10),OctSun1+32,""))</f>
        <v>45595</v>
      </c>
      <c r="E12" s="5">
        <f>IF(DAY(OctSun1)=1,IF(AND(YEAR(OctSun1+26)=CalendarYear,MONTH(OctSun1+26)=10),OctSun1+26,""),IF(AND(YEAR(OctSun1+33)=CalendarYear,MONTH(OctSun1+33)=10),OctSun1+33,""))</f>
        <v>45596</v>
      </c>
      <c r="F12" s="85" t="str">
        <f>IF(DAY(OctSun1)=1,IF(AND(YEAR(OctSun1+27)=CalendarYear,MONTH(OctSun1+27)=10),OctSun1+27,""),IF(AND(YEAR(OctSun1+34)=CalendarYear,MONTH(OctSun1+34)=10),OctSun1+34,""))</f>
        <v/>
      </c>
      <c r="G12" s="19"/>
    </row>
    <row r="13" spans="1:11" ht="78" customHeight="1" thickBot="1" x14ac:dyDescent="0.3">
      <c r="A13" s="71" t="s">
        <v>281</v>
      </c>
      <c r="B13" s="70" t="s">
        <v>282</v>
      </c>
      <c r="C13" s="204" t="s">
        <v>283</v>
      </c>
      <c r="D13" s="203" t="s">
        <v>284</v>
      </c>
      <c r="E13" s="195" t="s">
        <v>285</v>
      </c>
      <c r="F13" s="181" t="s">
        <v>286</v>
      </c>
      <c r="G13" s="202" t="s">
        <v>287</v>
      </c>
    </row>
    <row r="14" spans="1:11" ht="17.25" customHeight="1" x14ac:dyDescent="0.25">
      <c r="D14" s="80" t="s">
        <v>199</v>
      </c>
    </row>
    <row r="16" spans="1:11" ht="21" customHeight="1" x14ac:dyDescent="0.25"/>
    <row r="17" ht="19.5" customHeight="1" x14ac:dyDescent="0.25"/>
  </sheetData>
  <mergeCells count="1">
    <mergeCell ref="A2:E2"/>
  </mergeCells>
  <hyperlinks>
    <hyperlink ref="E11" r:id="rId1" xr:uid="{9AFE648E-6D1F-4F90-BF35-1914F40C9846}"/>
    <hyperlink ref="B7" r:id="rId2" xr:uid="{4C29F3BF-35DF-47F4-BEB1-C4EB299DBF1F}"/>
    <hyperlink ref="G11" r:id="rId3" xr:uid="{C6773BCA-B124-4020-89BE-0A976755CAFC}"/>
    <hyperlink ref="C5" r:id="rId4" xr:uid="{BDB11017-DEC7-43CC-9A4B-3BAE9A982401}"/>
    <hyperlink ref="E13" r:id="rId5" xr:uid="{FBC1E2F1-CBD3-4146-B449-F684F91F65F5}"/>
    <hyperlink ref="F7" r:id="rId6" xr:uid="{66F82BCD-27F7-45BF-B04D-B178D3EBAE98}"/>
    <hyperlink ref="G13" r:id="rId7" xr:uid="{D0E0FD09-C149-4BBF-B700-A7878314753E}"/>
  </hyperlinks>
  <printOptions horizontalCentered="1" verticalCentered="1"/>
  <pageMargins left="0.2" right="0.2" top="0.25" bottom="0.25" header="0" footer="0"/>
  <pageSetup orientation="landscape" r:id="rId8"/>
  <headerFooter scaleWithDoc="0" alignWithMargins="0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7"/>
  <sheetViews>
    <sheetView showGridLines="0" zoomScaleNormal="100" workbookViewId="0">
      <selection activeCell="E3" sqref="E3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A1" s="26"/>
      <c r="B1" s="22"/>
      <c r="C1" s="22"/>
      <c r="D1" s="22"/>
      <c r="E1" s="22"/>
      <c r="F1" s="22"/>
      <c r="G1" s="23"/>
    </row>
    <row r="2" spans="1:17" ht="57.75" customHeight="1" x14ac:dyDescent="0.25">
      <c r="A2" s="213" t="str">
        <f>UPPER(TEXT(DATE(CalendarYear,11,1),"mmmm yyyy"))</f>
        <v>NOVEMBER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32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  <c r="G3" s="33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IF(DAY(NovSun1)=1,"",IF(AND(YEAR(NovSun1+1)=CalendarYear,MONTH(NovSun1+1)=11),NovSun1+1,""))</f>
        <v/>
      </c>
      <c r="B4" s="92" t="str">
        <f>IF(DAY(NovSun1)=1,"",IF(AND(YEAR(NovSun1+2)=CalendarYear,MONTH(NovSun1+2)=11),NovSun1+2,""))</f>
        <v/>
      </c>
      <c r="C4" s="2" t="str">
        <f>IF(DAY(NovSun1)=1,"",IF(AND(YEAR(NovSun1+3)=CalendarYear,MONTH(NovSun1+3)=11),NovSun1+3,""))</f>
        <v/>
      </c>
      <c r="D4" s="92" t="str">
        <f>IF(DAY(NovSun1)=1,"",IF(AND(YEAR(NovSun1+4)=CalendarYear,MONTH(NovSun1+4)=11),NovSun1+4,""))</f>
        <v/>
      </c>
      <c r="E4" s="2" t="str">
        <f>IF(DAY(NovSun1)=1,"",IF(AND(YEAR(NovSun1+5)=CalendarYear,MONTH(NovSun1+5)=11),NovSun1+5,""))</f>
        <v/>
      </c>
      <c r="F4" s="92">
        <f>IF(DAY(NovSun1)=1,"",IF(AND(YEAR(NovSun1+6)=CalendarYear,MONTH(NovSun1+6)=11),NovSun1+6,""))</f>
        <v>45597</v>
      </c>
      <c r="G4" s="19">
        <f>IF(DAY(NovSun1)=1,IF(AND(YEAR(NovSun1)=CalendarYear,MONTH(NovSun1)=11),NovSun1,""),IF(AND(YEAR(NovSun1+7)=CalendarYear,MONTH(NovSun1+7)=11),NovSun1+7,""))</f>
        <v>45598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127"/>
      <c r="B5" s="86" t="s">
        <v>288</v>
      </c>
      <c r="C5" s="46"/>
      <c r="D5" s="94" t="s">
        <v>289</v>
      </c>
      <c r="E5" s="46" t="s">
        <v>290</v>
      </c>
      <c r="F5" s="142" t="s">
        <v>291</v>
      </c>
      <c r="G5" s="49" t="s">
        <v>292</v>
      </c>
      <c r="H5" s="1"/>
    </row>
    <row r="6" spans="1:17" ht="14.25" customHeight="1" x14ac:dyDescent="0.25">
      <c r="A6" s="20">
        <f>IF(DAY(NovSun1)=1,IF(AND(YEAR(NovSun1+1)=CalendarYear,MONTH(NovSun1+1)=11),NovSun1+1,""),IF(AND(YEAR(NovSun1+8)=CalendarYear,MONTH(NovSun1+8)=11),NovSun1+8,""))</f>
        <v>45599</v>
      </c>
      <c r="B6" s="93">
        <f>IF(DAY(NovSun1)=1,IF(AND(YEAR(NovSun1+2)=CalendarYear,MONTH(NovSun1+2)=11),NovSun1+2,""),IF(AND(YEAR(NovSun1+9)=CalendarYear,MONTH(NovSun1+9)=11),NovSun1+9,""))</f>
        <v>45600</v>
      </c>
      <c r="C6" s="5">
        <f>IF(DAY(NovSun1)=1,IF(AND(YEAR(NovSun1+3)=CalendarYear,MONTH(NovSun1+3)=11),NovSun1+3,""),IF(AND(YEAR(NovSun1+10)=CalendarYear,MONTH(NovSun1+10)=11),NovSun1+10,""))</f>
        <v>45601</v>
      </c>
      <c r="D6" s="93">
        <f>IF(DAY(NovSun1)=1,IF(AND(YEAR(NovSun1+4)=CalendarYear,MONTH(NovSun1+4)=11),NovSun1+4,""),IF(AND(YEAR(NovSun1+11)=CalendarYear,MONTH(NovSun1+11)=11),NovSun1+11,""))</f>
        <v>45602</v>
      </c>
      <c r="E6" s="5">
        <f>IF(DAY(NovSun1)=1,IF(AND(YEAR(NovSun1+5)=CalendarYear,MONTH(NovSun1+5)=11),NovSun1+5,""),IF(AND(YEAR(NovSun1+12)=CalendarYear,MONTH(NovSun1+12)=11),NovSun1+12,""))</f>
        <v>45603</v>
      </c>
      <c r="F6" s="93">
        <f>IF(DAY(NovSun1)=1,IF(AND(YEAR(NovSun1+6)=CalendarYear,MONTH(NovSun1+6)=11),NovSun1+6,""),IF(AND(YEAR(NovSun1+13)=CalendarYear,MONTH(NovSun1+13)=11),NovSun1+13,""))</f>
        <v>45604</v>
      </c>
      <c r="G6" s="21">
        <f>IF(DAY(NovSun1)=1,IF(AND(YEAR(NovSun1+7)=CalendarYear,MONTH(NovSun1+7)=11),NovSun1+7,""),IF(AND(YEAR(NovSun1+14)=CalendarYear,MONTH(NovSun1+14)=11),NovSun1+14,""))</f>
        <v>45605</v>
      </c>
      <c r="H6" s="1"/>
    </row>
    <row r="7" spans="1:17" ht="78" customHeight="1" x14ac:dyDescent="0.25">
      <c r="A7" s="45" t="s">
        <v>293</v>
      </c>
      <c r="B7" s="94" t="s">
        <v>294</v>
      </c>
      <c r="C7" s="77" t="s">
        <v>295</v>
      </c>
      <c r="D7" s="118"/>
      <c r="E7" s="46" t="s">
        <v>296</v>
      </c>
      <c r="F7" s="142" t="s">
        <v>297</v>
      </c>
      <c r="G7" s="205" t="s">
        <v>298</v>
      </c>
    </row>
    <row r="8" spans="1:17" ht="14.25" customHeight="1" x14ac:dyDescent="0.25">
      <c r="A8" s="18">
        <f>IF(DAY(NovSun1)=1,IF(AND(YEAR(NovSun1+8)=CalendarYear,MONTH(NovSun1+8)=11),NovSun1+8,""),IF(AND(YEAR(NovSun1+15)=CalendarYear,MONTH(NovSun1+15)=11),NovSun1+15,""))</f>
        <v>45606</v>
      </c>
      <c r="B8" s="92">
        <f>IF(DAY(NovSun1)=1,IF(AND(YEAR(NovSun1+9)=CalendarYear,MONTH(NovSun1+9)=11),NovSun1+9,""),IF(AND(YEAR(NovSun1+16)=CalendarYear,MONTH(NovSun1+16)=11),NovSun1+16,""))</f>
        <v>45607</v>
      </c>
      <c r="C8" s="2">
        <f>IF(DAY(NovSun1)=1,IF(AND(YEAR(NovSun1+10)=CalendarYear,MONTH(NovSun1+10)=11),NovSun1+10,""),IF(AND(YEAR(NovSun1+17)=CalendarYear,MONTH(NovSun1+17)=11),NovSun1+17,""))</f>
        <v>45608</v>
      </c>
      <c r="D8" s="92">
        <f>IF(DAY(NovSun1)=1,IF(AND(YEAR(NovSun1+11)=CalendarYear,MONTH(NovSun1+11)=11),NovSun1+11,""),IF(AND(YEAR(NovSun1+18)=CalendarYear,MONTH(NovSun1+18)=11),NovSun1+18,""))</f>
        <v>45609</v>
      </c>
      <c r="E8" s="2">
        <f>IF(DAY(NovSun1)=1,IF(AND(YEAR(NovSun1+12)=CalendarYear,MONTH(NovSun1+12)=11),NovSun1+12,""),IF(AND(YEAR(NovSun1+19)=CalendarYear,MONTH(NovSun1+19)=11),NovSun1+19,""))</f>
        <v>45610</v>
      </c>
      <c r="F8" s="92">
        <f>IF(DAY(NovSun1)=1,IF(AND(YEAR(NovSun1+13)=CalendarYear,MONTH(NovSun1+13)=11),NovSun1+13,""),IF(AND(YEAR(NovSun1+20)=CalendarYear,MONTH(NovSun1+20)=11),NovSun1+20,""))</f>
        <v>45611</v>
      </c>
      <c r="G8" s="19">
        <f>IF(DAY(NovSun1)=1,IF(AND(YEAR(NovSun1+14)=CalendarYear,MONTH(NovSun1+14)=11),NovSun1+14,""),IF(AND(YEAR(NovSun1+21)=CalendarYear,MONTH(NovSun1+21)=11),NovSun1+21,""))</f>
        <v>45612</v>
      </c>
      <c r="H8" s="1"/>
    </row>
    <row r="9" spans="1:17" ht="78" customHeight="1" x14ac:dyDescent="0.25">
      <c r="A9" s="55" t="s">
        <v>299</v>
      </c>
      <c r="B9" s="46" t="s">
        <v>300</v>
      </c>
      <c r="C9" s="142" t="s">
        <v>301</v>
      </c>
      <c r="D9" s="94" t="s">
        <v>302</v>
      </c>
      <c r="E9" s="46" t="s">
        <v>303</v>
      </c>
      <c r="F9" s="141"/>
      <c r="G9" s="49" t="s">
        <v>304</v>
      </c>
      <c r="H9" s="1"/>
    </row>
    <row r="10" spans="1:17" ht="14.25" customHeight="1" x14ac:dyDescent="0.25">
      <c r="A10" s="20">
        <f>IF(DAY(NovSun1)=1,IF(AND(YEAR(NovSun1+15)=CalendarYear,MONTH(NovSun1+15)=11),NovSun1+15,""),IF(AND(YEAR(NovSun1+22)=CalendarYear,MONTH(NovSun1+22)=11),NovSun1+22,""))</f>
        <v>45613</v>
      </c>
      <c r="B10" s="93">
        <f>IF(DAY(NovSun1)=1,IF(AND(YEAR(NovSun1+16)=CalendarYear,MONTH(NovSun1+16)=11),NovSun1+16,""),IF(AND(YEAR(NovSun1+23)=CalendarYear,MONTH(NovSun1+23)=11),NovSun1+23,""))</f>
        <v>45614</v>
      </c>
      <c r="C10" s="5">
        <f>IF(DAY(NovSun1)=1,IF(AND(YEAR(NovSun1+17)=CalendarYear,MONTH(NovSun1+17)=11),NovSun1+17,""),IF(AND(YEAR(NovSun1+24)=CalendarYear,MONTH(NovSun1+24)=11),NovSun1+24,""))</f>
        <v>45615</v>
      </c>
      <c r="D10" s="93">
        <f>IF(DAY(NovSun1)=1,IF(AND(YEAR(NovSun1+18)=CalendarYear,MONTH(NovSun1+18)=11),NovSun1+18,""),IF(AND(YEAR(NovSun1+25)=CalendarYear,MONTH(NovSun1+25)=11),NovSun1+25,""))</f>
        <v>45616</v>
      </c>
      <c r="E10" s="5">
        <f>IF(DAY(NovSun1)=1,IF(AND(YEAR(NovSun1+19)=CalendarYear,MONTH(NovSun1+19)=11),NovSun1+19,""),IF(AND(YEAR(NovSun1+26)=CalendarYear,MONTH(NovSun1+26)=11),NovSun1+26,""))</f>
        <v>45617</v>
      </c>
      <c r="F10" s="93">
        <f>IF(DAY(NovSun1)=1,IF(AND(YEAR(NovSun1+20)=CalendarYear,MONTH(NovSun1+20)=11),NovSun1+20,""),IF(AND(YEAR(NovSun1+27)=CalendarYear,MONTH(NovSun1+27)=11),NovSun1+27,""))</f>
        <v>45618</v>
      </c>
      <c r="G10" s="21">
        <f>IF(DAY(NovSun1)=1,IF(AND(YEAR(NovSun1+21)=CalendarYear,MONTH(NovSun1+21)=11),NovSun1+21,""),IF(AND(YEAR(NovSun1+28)=CalendarYear,MONTH(NovSun1+28)=11),NovSun1+28,""))</f>
        <v>45619</v>
      </c>
      <c r="H10" s="1"/>
    </row>
    <row r="11" spans="1:17" ht="78" customHeight="1" x14ac:dyDescent="0.25">
      <c r="A11" s="55" t="s">
        <v>305</v>
      </c>
      <c r="B11" s="94" t="s">
        <v>306</v>
      </c>
      <c r="C11" s="122" t="s">
        <v>307</v>
      </c>
      <c r="D11" s="199" t="s">
        <v>308</v>
      </c>
      <c r="E11" s="200"/>
      <c r="F11" s="142" t="s">
        <v>309</v>
      </c>
      <c r="G11" s="128" t="s">
        <v>310</v>
      </c>
      <c r="H11" s="78"/>
    </row>
    <row r="12" spans="1:17" ht="14.25" customHeight="1" x14ac:dyDescent="0.25">
      <c r="A12" s="18">
        <f>IF(DAY(NovSun1)=1,IF(AND(YEAR(NovSun1+22)=CalendarYear,MONTH(NovSun1+22)=11),NovSun1+22,""),IF(AND(YEAR(NovSun1+29)=CalendarYear,MONTH(NovSun1+29)=11),NovSun1+29,""))</f>
        <v>45620</v>
      </c>
      <c r="B12" s="92">
        <f>IF(DAY(NovSun1)=1,IF(AND(YEAR(NovSun1+23)=CalendarYear,MONTH(NovSun1+23)=11),NovSun1+23,""),IF(AND(YEAR(NovSun1+30)=CalendarYear,MONTH(NovSun1+30)=11),NovSun1+30,""))</f>
        <v>45621</v>
      </c>
      <c r="C12" s="2">
        <f>IF(DAY(NovSun1)=1,IF(AND(YEAR(NovSun1+24)=CalendarYear,MONTH(NovSun1+24)=11),NovSun1+24,""),IF(AND(YEAR(NovSun1+31)=CalendarYear,MONTH(NovSun1+31)=11),NovSun1+31,""))</f>
        <v>45622</v>
      </c>
      <c r="D12" s="92">
        <f>IF(DAY(NovSun1)=1,IF(AND(YEAR(NovSun1+25)=CalendarYear,MONTH(NovSun1+25)=11),NovSun1+25,""),IF(AND(YEAR(NovSun1+32)=CalendarYear,MONTH(NovSun1+32)=11),NovSun1+32,""))</f>
        <v>45623</v>
      </c>
      <c r="E12" s="5">
        <f>IF(DAY(NovSun1)=1,IF(AND(YEAR(NovSun1+26)=CalendarYear,MONTH(NovSun1+26)=11),NovSun1+26,""),IF(AND(YEAR(NovSun1+33)=CalendarYear,MONTH(NovSun1+33)=11),NovSun1+33,""))</f>
        <v>45624</v>
      </c>
      <c r="F12" s="92">
        <f>IF(DAY(NovSun1)=1,IF(AND(YEAR(NovSun1+27)=CalendarYear,MONTH(NovSun1+27)=11),NovSun1+27,""),IF(AND(YEAR(NovSun1+34)=CalendarYear,MONTH(NovSun1+34)=11),NovSun1+34,""))</f>
        <v>45625</v>
      </c>
      <c r="G12" s="21">
        <f>IF(DAY(NovSun1)=1,IF(AND(YEAR(NovSun1+28)=CalendarYear,MONTH(NovSun1+28)=11),NovSun1+28,""),IF(AND(YEAR(NovSun1+35)=CalendarYear,MONTH(NovSun1+35)=11),NovSun1+35,""))</f>
        <v>45626</v>
      </c>
      <c r="H12" s="1"/>
    </row>
    <row r="13" spans="1:17" ht="78" customHeight="1" thickBot="1" x14ac:dyDescent="0.3">
      <c r="A13" s="71" t="s">
        <v>311</v>
      </c>
      <c r="B13" s="79"/>
      <c r="C13" s="137" t="s">
        <v>312</v>
      </c>
      <c r="D13" s="129"/>
      <c r="E13" s="46" t="s">
        <v>313</v>
      </c>
      <c r="F13" s="131" t="s">
        <v>314</v>
      </c>
      <c r="G13" s="130" t="s">
        <v>315</v>
      </c>
      <c r="H13" s="1"/>
    </row>
    <row r="14" spans="1:17" ht="17.25" customHeight="1" x14ac:dyDescent="0.25">
      <c r="C14" s="215" t="s">
        <v>199</v>
      </c>
      <c r="D14" s="215"/>
      <c r="E14" s="22"/>
    </row>
    <row r="16" spans="1:17" ht="21" customHeight="1" x14ac:dyDescent="0.25">
      <c r="B16" s="11"/>
      <c r="C16" s="12"/>
      <c r="D16" s="13"/>
    </row>
    <row r="17" ht="19.5" customHeight="1" x14ac:dyDescent="0.25"/>
  </sheetData>
  <mergeCells count="2">
    <mergeCell ref="A2:E2"/>
    <mergeCell ref="C14:D14"/>
  </mergeCells>
  <hyperlinks>
    <hyperlink ref="F5" r:id="rId1" xr:uid="{A42527E2-4BB3-4E8C-9DA1-4B7855230101}"/>
    <hyperlink ref="F11" r:id="rId2" xr:uid="{B2E506C5-75FA-49CA-9BFD-BEA6E1C1BEAB}"/>
    <hyperlink ref="C9" r:id="rId3" xr:uid="{E561BC7E-3442-46C6-B503-6799D5172689}"/>
    <hyperlink ref="C13" r:id="rId4" xr:uid="{CD71C17C-6DEE-4533-9444-FBB6998E4ACC}"/>
    <hyperlink ref="F7" r:id="rId5" xr:uid="{6112FCF9-E78B-4486-AD7E-806F3579A89D}"/>
    <hyperlink ref="C11" r:id="rId6" xr:uid="{2DF31092-FE84-49F9-97D2-E786EF5D35D8}"/>
  </hyperlinks>
  <printOptions horizontalCentered="1" verticalCentered="1"/>
  <pageMargins left="0.2" right="0.2" top="0.25" bottom="0.25" header="0" footer="0"/>
  <pageSetup orientation="landscape" r:id="rId7"/>
  <headerFooter scaleWithDoc="0" alignWithMargins="0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96"/>
  <sheetViews>
    <sheetView showGridLines="0" zoomScaleNormal="100" workbookViewId="0">
      <selection activeCell="A5" sqref="A5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A1" s="76"/>
      <c r="B1" s="76"/>
      <c r="C1" s="76"/>
      <c r="D1" s="76"/>
      <c r="E1" s="76"/>
      <c r="F1" s="76"/>
      <c r="G1" s="76"/>
    </row>
    <row r="2" spans="1:17" ht="55.5" customHeight="1" x14ac:dyDescent="0.25">
      <c r="A2" s="213" t="str">
        <f>UPPER(TEXT(DATE(CalendarYear,12,1),"mmmm yyyy"))</f>
        <v>DECEMBER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27" t="s">
        <v>0</v>
      </c>
      <c r="B3" s="17" t="s">
        <v>1</v>
      </c>
      <c r="C3" s="17" t="s">
        <v>2</v>
      </c>
      <c r="D3" s="17" t="s">
        <v>3</v>
      </c>
      <c r="E3" s="17" t="s">
        <v>4</v>
      </c>
      <c r="F3" s="17" t="s">
        <v>5</v>
      </c>
      <c r="G3" s="28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>
        <f>IF(DAY(DecSun1)=1,"",IF(AND(YEAR(DecSun1+1)=CalendarYear,MONTH(DecSun1+1)=12),DecSun1+1,""))</f>
        <v>45627</v>
      </c>
      <c r="B4" s="85">
        <f>IF(DAY(DecSun1)=1,"",IF(AND(YEAR(DecSun1+2)=CalendarYear,MONTH(DecSun1+2)=12),DecSun1+2,""))</f>
        <v>45628</v>
      </c>
      <c r="C4" s="2">
        <f>IF(DAY(DecSun1)=1,"",IF(AND(YEAR(DecSun1+3)=CalendarYear,MONTH(DecSun1+3)=12),DecSun1+3,""))</f>
        <v>45629</v>
      </c>
      <c r="D4" s="85">
        <f>IF(DAY(DecSun1)=1,"",IF(AND(YEAR(DecSun1+4)=CalendarYear,MONTH(DecSun1+4)=12),DecSun1+4,""))</f>
        <v>45630</v>
      </c>
      <c r="E4" s="2">
        <f>IF(DAY(DecSun1)=1,"",IF(AND(YEAR(DecSun1+5)=CalendarYear,MONTH(DecSun1+5)=12),DecSun1+5,""))</f>
        <v>45631</v>
      </c>
      <c r="F4" s="85">
        <f>IF(DAY(DecSun1)=1,"",IF(AND(YEAR(DecSun1+6)=CalendarYear,MONTH(DecSun1+6)=12),DecSun1+6,""))</f>
        <v>45632</v>
      </c>
      <c r="G4" s="19">
        <f>IF(DAY(DecSun1)=1,IF(AND(YEAR(DecSun1)=CalendarYear,MONTH(DecSun1)=12),DecSun1,""),IF(AND(YEAR(DecSun1+7)=CalendarYear,MONTH(DecSun1+7)=12),DecSun1+7,""))</f>
        <v>45633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109"/>
      <c r="B5" s="86" t="s">
        <v>316</v>
      </c>
      <c r="C5" s="50" t="s">
        <v>317</v>
      </c>
      <c r="D5" s="87" t="s">
        <v>318</v>
      </c>
      <c r="E5" s="46" t="s">
        <v>319</v>
      </c>
      <c r="F5" s="88"/>
      <c r="G5" s="49" t="s">
        <v>320</v>
      </c>
      <c r="H5" s="1"/>
    </row>
    <row r="6" spans="1:17" ht="14.25" customHeight="1" x14ac:dyDescent="0.25">
      <c r="A6" s="20">
        <f>IF(DAY(DecSun1)=1,IF(AND(YEAR(DecSun1+1)=CalendarYear,MONTH(DecSun1+1)=12),DecSun1+1,""),IF(AND(YEAR(DecSun1+8)=CalendarYear,MONTH(DecSun1+8)=12),DecSun1+8,""))</f>
        <v>45634</v>
      </c>
      <c r="B6" s="40">
        <f>IF(DAY(DecSun1)=1,IF(AND(YEAR(DecSun1+2)=CalendarYear,MONTH(DecSun1+2)=12),DecSun1+2,""),IF(AND(YEAR(DecSun1+9)=CalendarYear,MONTH(DecSun1+9)=12),DecSun1+9,""))</f>
        <v>45635</v>
      </c>
      <c r="C6" s="5">
        <f>IF(DAY(DecSun1)=1,IF(AND(YEAR(DecSun1+3)=CalendarYear,MONTH(DecSun1+3)=12),DecSun1+3,""),IF(AND(YEAR(DecSun1+10)=CalendarYear,MONTH(DecSun1+10)=12),DecSun1+10,""))</f>
        <v>45636</v>
      </c>
      <c r="D6" s="40">
        <f>IF(DAY(DecSun1)=1,IF(AND(YEAR(DecSun1+4)=CalendarYear,MONTH(DecSun1+4)=12),DecSun1+4,""),IF(AND(YEAR(DecSun1+11)=CalendarYear,MONTH(DecSun1+11)=12),DecSun1+11,""))</f>
        <v>45637</v>
      </c>
      <c r="E6" s="5">
        <f>IF(DAY(DecSun1)=1,IF(AND(YEAR(DecSun1+5)=CalendarYear,MONTH(DecSun1+5)=12),DecSun1+5,""),IF(AND(YEAR(DecSun1+12)=CalendarYear,MONTH(DecSun1+12)=12),DecSun1+12,""))</f>
        <v>45638</v>
      </c>
      <c r="F6" s="40">
        <f>IF(DAY(DecSun1)=1,IF(AND(YEAR(DecSun1+6)=CalendarYear,MONTH(DecSun1+6)=12),DecSun1+6,""),IF(AND(YEAR(DecSun1+13)=CalendarYear,MONTH(DecSun1+13)=12),DecSun1+13,""))</f>
        <v>45639</v>
      </c>
      <c r="G6" s="21">
        <f>IF(DAY(DecSun1)=1,IF(AND(YEAR(DecSun1+7)=CalendarYear,MONTH(DecSun1+7)=12),DecSun1+7,""),IF(AND(YEAR(DecSun1+14)=CalendarYear,MONTH(DecSun1+14)=12),DecSun1+14,""))</f>
        <v>45640</v>
      </c>
      <c r="H6" s="1"/>
    </row>
    <row r="7" spans="1:17" ht="78" customHeight="1" x14ac:dyDescent="0.25">
      <c r="A7" s="55" t="s">
        <v>321</v>
      </c>
      <c r="B7" s="87" t="s">
        <v>322</v>
      </c>
      <c r="C7" s="46" t="s">
        <v>323</v>
      </c>
      <c r="D7" s="87" t="s">
        <v>282</v>
      </c>
      <c r="E7" s="46" t="s">
        <v>324</v>
      </c>
      <c r="F7" s="119" t="s">
        <v>325</v>
      </c>
      <c r="G7" s="49" t="s">
        <v>326</v>
      </c>
      <c r="H7" s="1"/>
      <c r="J7" s="63"/>
    </row>
    <row r="8" spans="1:17" ht="14.25" customHeight="1" x14ac:dyDescent="0.25">
      <c r="A8" s="18">
        <f>IF(DAY(DecSun1)=1,IF(AND(YEAR(DecSun1+8)=CalendarYear,MONTH(DecSun1+8)=12),DecSun1+8,""),IF(AND(YEAR(DecSun1+15)=CalendarYear,MONTH(DecSun1+15)=12),DecSun1+15,""))</f>
        <v>45641</v>
      </c>
      <c r="B8" s="85">
        <f>IF(DAY(DecSun1)=1,IF(AND(YEAR(DecSun1+9)=CalendarYear,MONTH(DecSun1+9)=12),DecSun1+9,""),IF(AND(YEAR(DecSun1+16)=CalendarYear,MONTH(DecSun1+16)=12),DecSun1+16,""))</f>
        <v>45642</v>
      </c>
      <c r="C8" s="2">
        <f>IF(DAY(DecSun1)=1,IF(AND(YEAR(DecSun1+10)=CalendarYear,MONTH(DecSun1+10)=12),DecSun1+10,""),IF(AND(YEAR(DecSun1+17)=CalendarYear,MONTH(DecSun1+17)=12),DecSun1+17,""))</f>
        <v>45643</v>
      </c>
      <c r="D8" s="85">
        <f>IF(DAY(DecSun1)=1,IF(AND(YEAR(DecSun1+11)=CalendarYear,MONTH(DecSun1+11)=12),DecSun1+11,""),IF(AND(YEAR(DecSun1+18)=CalendarYear,MONTH(DecSun1+18)=12),DecSun1+18,""))</f>
        <v>45644</v>
      </c>
      <c r="E8" s="2">
        <f>IF(DAY(DecSun1)=1,IF(AND(YEAR(DecSun1+12)=CalendarYear,MONTH(DecSun1+12)=12),DecSun1+12,""),IF(AND(YEAR(DecSun1+19)=CalendarYear,MONTH(DecSun1+19)=12),DecSun1+19,""))</f>
        <v>45645</v>
      </c>
      <c r="F8" s="85">
        <f>IF(DAY(DecSun1)=1,IF(AND(YEAR(DecSun1+13)=CalendarYear,MONTH(DecSun1+13)=12),DecSun1+13,""),IF(AND(YEAR(DecSun1+20)=CalendarYear,MONTH(DecSun1+20)=12),DecSun1+20,""))</f>
        <v>45646</v>
      </c>
      <c r="G8" s="19">
        <f>IF(DAY(DecSun1)=1,IF(AND(YEAR(DecSun1+14)=CalendarYear,MONTH(DecSun1+14)=12),DecSun1+14,""),IF(AND(YEAR(DecSun1+21)=CalendarYear,MONTH(DecSun1+21)=12),DecSun1+21,""))</f>
        <v>45647</v>
      </c>
      <c r="H8" s="1"/>
      <c r="J8"/>
    </row>
    <row r="9" spans="1:17" ht="78" customHeight="1" x14ac:dyDescent="0.25">
      <c r="A9" s="55" t="s">
        <v>327</v>
      </c>
      <c r="B9" s="87" t="s">
        <v>328</v>
      </c>
      <c r="C9" s="46" t="s">
        <v>329</v>
      </c>
      <c r="D9" s="102" t="s">
        <v>330</v>
      </c>
      <c r="E9" s="46" t="s">
        <v>331</v>
      </c>
      <c r="F9" s="88" t="s">
        <v>332</v>
      </c>
      <c r="G9" s="49" t="s">
        <v>333</v>
      </c>
      <c r="H9" s="1"/>
      <c r="J9"/>
    </row>
    <row r="10" spans="1:17" ht="14.25" customHeight="1" x14ac:dyDescent="0.25">
      <c r="A10" s="20">
        <f>IF(DAY(DecSun1)=1,IF(AND(YEAR(DecSun1+15)=CalendarYear,MONTH(DecSun1+15)=12),DecSun1+15,""),IF(AND(YEAR(DecSun1+22)=CalendarYear,MONTH(DecSun1+22)=12),DecSun1+22,""))</f>
        <v>45648</v>
      </c>
      <c r="B10" s="40">
        <f>IF(DAY(DecSun1)=1,IF(AND(YEAR(DecSun1+16)=CalendarYear,MONTH(DecSun1+16)=12),DecSun1+16,""),IF(AND(YEAR(DecSun1+23)=CalendarYear,MONTH(DecSun1+23)=12),DecSun1+23,""))</f>
        <v>45649</v>
      </c>
      <c r="C10" s="5">
        <f>IF(DAY(DecSun1)=1,IF(AND(YEAR(DecSun1+17)=CalendarYear,MONTH(DecSun1+17)=12),DecSun1+17,""),IF(AND(YEAR(DecSun1+24)=CalendarYear,MONTH(DecSun1+24)=12),DecSun1+24,""))</f>
        <v>45650</v>
      </c>
      <c r="D10" s="40">
        <f>IF(DAY(DecSun1)=1,IF(AND(YEAR(DecSun1+18)=CalendarYear,MONTH(DecSun1+18)=12),DecSun1+18,""),IF(AND(YEAR(DecSun1+25)=CalendarYear,MONTH(DecSun1+25)=12),DecSun1+25,""))</f>
        <v>45651</v>
      </c>
      <c r="E10" s="5">
        <f>IF(DAY(DecSun1)=1,IF(AND(YEAR(DecSun1+19)=CalendarYear,MONTH(DecSun1+19)=12),DecSun1+19,""),IF(AND(YEAR(DecSun1+26)=CalendarYear,MONTH(DecSun1+26)=12),DecSun1+26,""))</f>
        <v>45652</v>
      </c>
      <c r="F10" s="40">
        <f>IF(DAY(DecSun1)=1,IF(AND(YEAR(DecSun1+20)=CalendarYear,MONTH(DecSun1+20)=12),DecSun1+20,""),IF(AND(YEAR(DecSun1+27)=CalendarYear,MONTH(DecSun1+27)=12),DecSun1+27,""))</f>
        <v>45653</v>
      </c>
      <c r="G10" s="21">
        <f>IF(DAY(DecSun1)=1,IF(AND(YEAR(DecSun1+21)=CalendarYear,MONTH(DecSun1+21)=12),DecSun1+21,""),IF(AND(YEAR(DecSun1+28)=CalendarYear,MONTH(DecSun1+28)=12),DecSun1+28,""))</f>
        <v>45654</v>
      </c>
      <c r="H10" s="1"/>
      <c r="J10"/>
    </row>
    <row r="11" spans="1:17" ht="78" customHeight="1" x14ac:dyDescent="0.25">
      <c r="A11" s="55" t="s">
        <v>334</v>
      </c>
      <c r="B11" s="87" t="s">
        <v>335</v>
      </c>
      <c r="C11" s="46" t="s">
        <v>336</v>
      </c>
      <c r="D11" s="201" t="s">
        <v>337</v>
      </c>
      <c r="E11" s="56" t="s">
        <v>338</v>
      </c>
      <c r="F11" s="88" t="s">
        <v>339</v>
      </c>
      <c r="G11" s="206" t="s">
        <v>340</v>
      </c>
      <c r="I11" s="78"/>
      <c r="J11"/>
    </row>
    <row r="12" spans="1:17" ht="14.25" customHeight="1" x14ac:dyDescent="0.25">
      <c r="A12" s="18">
        <f>IF(DAY(DecSun1)=1,IF(AND(YEAR(DecSun1+22)=CalendarYear,MONTH(DecSun1+22)=12),DecSun1+22,""),IF(AND(YEAR(DecSun1+29)=CalendarYear,MONTH(DecSun1+29)=12),DecSun1+29,""))</f>
        <v>45655</v>
      </c>
      <c r="B12" s="85">
        <f>IF(DAY(DecSun1)=1,IF(AND(YEAR(DecSun1+23)=CalendarYear,MONTH(DecSun1+23)=12),DecSun1+23,""),IF(AND(YEAR(DecSun1+30)=CalendarYear,MONTH(DecSun1+30)=12),DecSun1+30,""))</f>
        <v>45656</v>
      </c>
      <c r="C12" s="2">
        <f>IF(DAY(DecSun1)=1,IF(AND(YEAR(DecSun1+24)=CalendarYear,MONTH(DecSun1+24)=12),DecSun1+24,""),IF(AND(YEAR(DecSun1+31)=CalendarYear,MONTH(DecSun1+31)=12),DecSun1+31,""))</f>
        <v>45657</v>
      </c>
      <c r="D12" s="85" t="str">
        <f>IF(DAY(DecSun1)=1,IF(AND(YEAR(DecSun1+25)=CalendarYear,MONTH(DecSun1+25)=12),DecSun1+25,""),IF(AND(YEAR(DecSun1+32)=CalendarYear,MONTH(DecSun1+32)=12),DecSun1+32,""))</f>
        <v/>
      </c>
      <c r="E12" s="2" t="str">
        <f>IF(DAY(DecSun1)=1,IF(AND(YEAR(DecSun1+26)=CalendarYear,MONTH(DecSun1+26)=12),DecSun1+26,""),IF(AND(YEAR(DecSun1+33)=CalendarYear,MONTH(DecSun1+33)=12),DecSun1+33,""))</f>
        <v/>
      </c>
      <c r="F12" s="85" t="str">
        <f>IF(DAY(DecSun1)=1,IF(AND(YEAR(DecSun1+27)=CalendarYear,MONTH(DecSun1+27)=12),DecSun1+27,""),IF(AND(YEAR(DecSun1+34)=CalendarYear,MONTH(DecSun1+34)=12),DecSun1+34,""))</f>
        <v/>
      </c>
      <c r="G12" s="19" t="str">
        <f>IF(DAY(DecSun1)=1,IF(AND(YEAR(DecSun1+28)=CalendarYear,MONTH(DecSun1+28)=12),DecSun1+28,""),IF(AND(YEAR(DecSun1+35)=CalendarYear,MONTH(DecSun1+35)=12),DecSun1+35,""))</f>
        <v/>
      </c>
      <c r="H12" s="1"/>
      <c r="I12"/>
      <c r="J12"/>
    </row>
    <row r="13" spans="1:17" ht="14.25" customHeight="1" x14ac:dyDescent="0.25">
      <c r="A13" s="20" t="str">
        <f>IF(DAY(DecSun1)=1,IF(AND(YEAR(DecSun1+29)=CalendarYear,MONTH(DecSun1+29)=12),DecSun1+29,""),IF(AND(YEAR(DecSun1+36)=CalendarYear,MONTH(DecSun1+36)=12),DecSun1+36,""))</f>
        <v/>
      </c>
      <c r="B13" s="222"/>
      <c r="C13" s="5"/>
      <c r="D13" s="218" t="s">
        <v>341</v>
      </c>
      <c r="E13" s="218" t="s">
        <v>342</v>
      </c>
      <c r="F13" s="222" t="s">
        <v>343</v>
      </c>
      <c r="G13" s="224" t="s">
        <v>344</v>
      </c>
      <c r="H13" s="1"/>
      <c r="I13"/>
      <c r="J13"/>
    </row>
    <row r="14" spans="1:17" ht="63.75" customHeight="1" thickBot="1" x14ac:dyDescent="0.3">
      <c r="A14" s="71"/>
      <c r="B14" s="223"/>
      <c r="C14" s="180"/>
      <c r="D14" s="219"/>
      <c r="E14" s="219"/>
      <c r="F14" s="223"/>
      <c r="G14" s="225"/>
      <c r="H14" s="1"/>
      <c r="I14"/>
      <c r="J14"/>
    </row>
    <row r="15" spans="1:17" ht="15" customHeight="1" x14ac:dyDescent="0.25">
      <c r="A15" s="22"/>
      <c r="B15" s="22"/>
      <c r="C15" s="227" t="s">
        <v>199</v>
      </c>
      <c r="D15" s="227"/>
      <c r="E15" s="227"/>
      <c r="F15" s="22"/>
      <c r="G15" s="22"/>
      <c r="I15"/>
      <c r="J15"/>
    </row>
    <row r="16" spans="1:17" ht="15.75" x14ac:dyDescent="0.25">
      <c r="I16"/>
      <c r="J16"/>
    </row>
    <row r="17" spans="2:10" ht="21" customHeight="1" x14ac:dyDescent="0.25">
      <c r="B17" s="11"/>
      <c r="C17" s="12"/>
      <c r="D17" s="13"/>
      <c r="I17"/>
      <c r="J17"/>
    </row>
    <row r="18" spans="2:10" ht="19.5" customHeight="1" x14ac:dyDescent="0.25">
      <c r="I18"/>
      <c r="J18"/>
    </row>
    <row r="19" spans="2:10" ht="15.75" x14ac:dyDescent="0.25">
      <c r="I19"/>
      <c r="J19"/>
    </row>
    <row r="20" spans="2:10" ht="15.75" x14ac:dyDescent="0.25">
      <c r="I20"/>
      <c r="J20"/>
    </row>
    <row r="21" spans="2:10" ht="15.75" x14ac:dyDescent="0.25">
      <c r="I21"/>
      <c r="J21"/>
    </row>
    <row r="22" spans="2:10" ht="15.75" x14ac:dyDescent="0.25">
      <c r="I22"/>
      <c r="J22"/>
    </row>
    <row r="23" spans="2:10" ht="15.75" x14ac:dyDescent="0.25">
      <c r="I23"/>
      <c r="J23"/>
    </row>
    <row r="24" spans="2:10" ht="15.75" x14ac:dyDescent="0.25">
      <c r="I24"/>
      <c r="J24"/>
    </row>
    <row r="25" spans="2:10" ht="15.75" x14ac:dyDescent="0.25">
      <c r="I25"/>
      <c r="J25"/>
    </row>
    <row r="26" spans="2:10" ht="15.75" x14ac:dyDescent="0.25">
      <c r="I26"/>
      <c r="J26"/>
    </row>
    <row r="27" spans="2:10" ht="15.75" x14ac:dyDescent="0.25">
      <c r="I27"/>
      <c r="J27"/>
    </row>
    <row r="28" spans="2:10" ht="15.75" x14ac:dyDescent="0.25">
      <c r="I28"/>
      <c r="J28"/>
    </row>
    <row r="29" spans="2:10" ht="15.75" x14ac:dyDescent="0.25">
      <c r="I29"/>
    </row>
    <row r="30" spans="2:10" ht="15.75" x14ac:dyDescent="0.25">
      <c r="I30"/>
    </row>
    <row r="31" spans="2:10" ht="15.75" x14ac:dyDescent="0.25">
      <c r="I31"/>
    </row>
    <row r="32" spans="2:10" ht="15.75" x14ac:dyDescent="0.25">
      <c r="I32"/>
    </row>
    <row r="33" spans="9:9" ht="15.75" x14ac:dyDescent="0.25">
      <c r="I33"/>
    </row>
    <row r="34" spans="9:9" ht="15.75" x14ac:dyDescent="0.25">
      <c r="I34"/>
    </row>
    <row r="35" spans="9:9" ht="15.75" x14ac:dyDescent="0.25">
      <c r="I35"/>
    </row>
    <row r="36" spans="9:9" ht="15.75" x14ac:dyDescent="0.25">
      <c r="I36"/>
    </row>
    <row r="37" spans="9:9" ht="15.75" x14ac:dyDescent="0.25">
      <c r="I37"/>
    </row>
    <row r="38" spans="9:9" ht="15.75" x14ac:dyDescent="0.25">
      <c r="I38"/>
    </row>
    <row r="39" spans="9:9" ht="15.75" x14ac:dyDescent="0.25">
      <c r="I39"/>
    </row>
    <row r="40" spans="9:9" ht="15.75" x14ac:dyDescent="0.25">
      <c r="I40"/>
    </row>
    <row r="41" spans="9:9" ht="15.75" x14ac:dyDescent="0.25">
      <c r="I41"/>
    </row>
    <row r="42" spans="9:9" ht="15.75" x14ac:dyDescent="0.25">
      <c r="I42"/>
    </row>
    <row r="43" spans="9:9" ht="15.75" x14ac:dyDescent="0.25">
      <c r="I43"/>
    </row>
    <row r="44" spans="9:9" ht="15.75" x14ac:dyDescent="0.25">
      <c r="I44"/>
    </row>
    <row r="45" spans="9:9" ht="15.75" x14ac:dyDescent="0.25">
      <c r="I45"/>
    </row>
    <row r="46" spans="9:9" ht="15.75" x14ac:dyDescent="0.25">
      <c r="I46"/>
    </row>
    <row r="47" spans="9:9" ht="15.75" x14ac:dyDescent="0.25">
      <c r="I47"/>
    </row>
    <row r="48" spans="9:9" ht="15.75" x14ac:dyDescent="0.25">
      <c r="I48"/>
    </row>
    <row r="49" spans="9:9" ht="15.75" x14ac:dyDescent="0.25">
      <c r="I49"/>
    </row>
    <row r="50" spans="9:9" ht="15.75" x14ac:dyDescent="0.25">
      <c r="I50"/>
    </row>
    <row r="51" spans="9:9" ht="15.75" x14ac:dyDescent="0.25">
      <c r="I51"/>
    </row>
    <row r="52" spans="9:9" ht="15.75" x14ac:dyDescent="0.25">
      <c r="I52"/>
    </row>
    <row r="53" spans="9:9" ht="15.75" x14ac:dyDescent="0.25">
      <c r="I53"/>
    </row>
    <row r="54" spans="9:9" ht="15.75" x14ac:dyDescent="0.25">
      <c r="I54"/>
    </row>
    <row r="55" spans="9:9" ht="15.75" x14ac:dyDescent="0.25">
      <c r="I55"/>
    </row>
    <row r="56" spans="9:9" ht="15.75" x14ac:dyDescent="0.25">
      <c r="I56"/>
    </row>
    <row r="57" spans="9:9" ht="15.75" x14ac:dyDescent="0.25">
      <c r="I57"/>
    </row>
    <row r="58" spans="9:9" ht="15.75" x14ac:dyDescent="0.25">
      <c r="I58"/>
    </row>
    <row r="59" spans="9:9" ht="15.75" x14ac:dyDescent="0.25">
      <c r="I59"/>
    </row>
    <row r="60" spans="9:9" ht="15.75" x14ac:dyDescent="0.25">
      <c r="I60"/>
    </row>
    <row r="61" spans="9:9" ht="15.75" x14ac:dyDescent="0.25">
      <c r="I61"/>
    </row>
    <row r="62" spans="9:9" ht="15.75" x14ac:dyDescent="0.25">
      <c r="I62"/>
    </row>
    <row r="63" spans="9:9" ht="15.75" x14ac:dyDescent="0.25">
      <c r="I63"/>
    </row>
    <row r="64" spans="9:9" ht="15.75" x14ac:dyDescent="0.25">
      <c r="I64"/>
    </row>
    <row r="65" spans="9:9" ht="15.75" x14ac:dyDescent="0.25">
      <c r="I65"/>
    </row>
    <row r="66" spans="9:9" ht="15.75" x14ac:dyDescent="0.25">
      <c r="I66"/>
    </row>
    <row r="67" spans="9:9" ht="15.75" x14ac:dyDescent="0.25">
      <c r="I67"/>
    </row>
    <row r="68" spans="9:9" ht="15.75" x14ac:dyDescent="0.25">
      <c r="I68"/>
    </row>
    <row r="69" spans="9:9" ht="15.75" x14ac:dyDescent="0.25">
      <c r="I69"/>
    </row>
    <row r="70" spans="9:9" ht="15.75" x14ac:dyDescent="0.25">
      <c r="I70"/>
    </row>
    <row r="71" spans="9:9" ht="15.75" x14ac:dyDescent="0.25">
      <c r="I71"/>
    </row>
    <row r="72" spans="9:9" ht="15.75" x14ac:dyDescent="0.25">
      <c r="I72"/>
    </row>
    <row r="73" spans="9:9" ht="15.75" x14ac:dyDescent="0.25">
      <c r="I73"/>
    </row>
    <row r="74" spans="9:9" ht="15.75" x14ac:dyDescent="0.25">
      <c r="I74"/>
    </row>
    <row r="75" spans="9:9" ht="15.75" x14ac:dyDescent="0.25">
      <c r="I75"/>
    </row>
    <row r="76" spans="9:9" ht="15.75" x14ac:dyDescent="0.25">
      <c r="I76"/>
    </row>
    <row r="77" spans="9:9" ht="15.75" x14ac:dyDescent="0.25">
      <c r="I77"/>
    </row>
    <row r="78" spans="9:9" ht="15.75" x14ac:dyDescent="0.25">
      <c r="I78"/>
    </row>
    <row r="79" spans="9:9" ht="15.75" x14ac:dyDescent="0.25">
      <c r="I79"/>
    </row>
    <row r="80" spans="9:9" ht="15.75" x14ac:dyDescent="0.25">
      <c r="I80"/>
    </row>
    <row r="81" spans="9:9" ht="15.75" x14ac:dyDescent="0.25">
      <c r="I81"/>
    </row>
    <row r="82" spans="9:9" ht="15.75" x14ac:dyDescent="0.25">
      <c r="I82"/>
    </row>
    <row r="83" spans="9:9" ht="15.75" x14ac:dyDescent="0.25">
      <c r="I83"/>
    </row>
    <row r="84" spans="9:9" ht="15.75" x14ac:dyDescent="0.25">
      <c r="I84"/>
    </row>
    <row r="85" spans="9:9" ht="15.75" x14ac:dyDescent="0.25">
      <c r="I85"/>
    </row>
    <row r="86" spans="9:9" ht="15.75" x14ac:dyDescent="0.25">
      <c r="I86"/>
    </row>
    <row r="87" spans="9:9" ht="15.75" x14ac:dyDescent="0.25">
      <c r="I87"/>
    </row>
    <row r="88" spans="9:9" ht="15.75" x14ac:dyDescent="0.25">
      <c r="I88"/>
    </row>
    <row r="89" spans="9:9" ht="15.75" x14ac:dyDescent="0.25">
      <c r="I89"/>
    </row>
    <row r="90" spans="9:9" ht="15.75" x14ac:dyDescent="0.25">
      <c r="I90"/>
    </row>
    <row r="91" spans="9:9" ht="15.75" x14ac:dyDescent="0.25">
      <c r="I91"/>
    </row>
    <row r="92" spans="9:9" ht="15.75" x14ac:dyDescent="0.25">
      <c r="I92"/>
    </row>
    <row r="93" spans="9:9" ht="15.75" x14ac:dyDescent="0.25">
      <c r="I93"/>
    </row>
    <row r="94" spans="9:9" ht="15.75" x14ac:dyDescent="0.25">
      <c r="I94"/>
    </row>
    <row r="95" spans="9:9" ht="15.75" x14ac:dyDescent="0.25">
      <c r="I95"/>
    </row>
    <row r="96" spans="9:9" ht="15.75" x14ac:dyDescent="0.25">
      <c r="I96"/>
    </row>
  </sheetData>
  <mergeCells count="7">
    <mergeCell ref="F13:F14"/>
    <mergeCell ref="G13:G14"/>
    <mergeCell ref="A2:E2"/>
    <mergeCell ref="C15:E15"/>
    <mergeCell ref="B13:B14"/>
    <mergeCell ref="D13:D14"/>
    <mergeCell ref="E13:E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3"/>
  <sheetViews>
    <sheetView workbookViewId="0">
      <selection activeCell="E5" sqref="E5"/>
    </sheetView>
  </sheetViews>
  <sheetFormatPr defaultRowHeight="15.75" x14ac:dyDescent="0.25"/>
  <sheetData>
    <row r="1" spans="1:4" x14ac:dyDescent="0.25">
      <c r="A1" s="72" t="s">
        <v>345</v>
      </c>
      <c r="B1" s="72"/>
      <c r="C1" s="72"/>
      <c r="D1" s="72"/>
    </row>
    <row r="2" spans="1:4" x14ac:dyDescent="0.25">
      <c r="A2" s="72"/>
      <c r="B2" s="72" t="s">
        <v>346</v>
      </c>
      <c r="C2" s="72"/>
      <c r="D2" s="72"/>
    </row>
    <row r="3" spans="1:4" x14ac:dyDescent="0.25">
      <c r="A3" s="72"/>
      <c r="B3" s="72"/>
      <c r="C3" s="72"/>
      <c r="D3" s="72"/>
    </row>
    <row r="4" spans="1:4" x14ac:dyDescent="0.25">
      <c r="A4" s="72" t="s">
        <v>347</v>
      </c>
      <c r="B4" s="72"/>
      <c r="C4" s="72"/>
      <c r="D4" s="72"/>
    </row>
    <row r="5" spans="1:4" x14ac:dyDescent="0.25">
      <c r="A5" s="72"/>
      <c r="B5" s="72" t="s">
        <v>348</v>
      </c>
      <c r="C5" s="72"/>
      <c r="D5" s="72"/>
    </row>
    <row r="6" spans="1:4" x14ac:dyDescent="0.25">
      <c r="A6" s="72"/>
      <c r="B6" s="72" t="s">
        <v>349</v>
      </c>
      <c r="C6" s="72"/>
      <c r="D6" s="72"/>
    </row>
    <row r="7" spans="1:4" x14ac:dyDescent="0.25">
      <c r="A7" s="72"/>
      <c r="B7" s="72" t="s">
        <v>350</v>
      </c>
      <c r="C7" s="72"/>
      <c r="D7" s="72"/>
    </row>
    <row r="8" spans="1:4" x14ac:dyDescent="0.25">
      <c r="A8" s="72"/>
      <c r="B8" s="72" t="s">
        <v>351</v>
      </c>
      <c r="C8" s="72"/>
      <c r="D8" s="72"/>
    </row>
    <row r="9" spans="1:4" x14ac:dyDescent="0.25">
      <c r="A9" s="72"/>
      <c r="B9" s="72" t="s">
        <v>352</v>
      </c>
      <c r="C9" s="72"/>
      <c r="D9" s="72"/>
    </row>
    <row r="10" spans="1:4" x14ac:dyDescent="0.25">
      <c r="A10" s="72"/>
      <c r="B10" s="72" t="s">
        <v>353</v>
      </c>
      <c r="C10" s="72"/>
      <c r="D10" s="72"/>
    </row>
    <row r="11" spans="1:4" x14ac:dyDescent="0.25">
      <c r="A11" s="72"/>
      <c r="B11" s="72" t="s">
        <v>354</v>
      </c>
      <c r="C11" s="72"/>
      <c r="D11" s="72"/>
    </row>
    <row r="12" spans="1:4" x14ac:dyDescent="0.25">
      <c r="B12" s="72" t="s">
        <v>355</v>
      </c>
    </row>
    <row r="13" spans="1:4" x14ac:dyDescent="0.25">
      <c r="B13" s="72" t="s">
        <v>356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7"/>
  <sheetViews>
    <sheetView showGridLines="0" topLeftCell="A2" zoomScaleNormal="100" workbookViewId="0">
      <selection activeCell="F11" sqref="F11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/>
    <row r="2" spans="1:17" ht="57.75" customHeight="1" x14ac:dyDescent="0.25">
      <c r="A2" s="213" t="str">
        <f>UPPER(TEXT(DATE(CalendarYear,2,1),"mmmm yyyy"))</f>
        <v>FEBRUARY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36" t="s">
        <v>0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  <c r="G3" s="37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IF(DAY(FebSun1)=1,"",IF(AND(YEAR(FebSun1+1)=CalendarYear,MONTH(FebSun1+1)=2),FebSun1+1,""))</f>
        <v/>
      </c>
      <c r="B4" s="2" t="str">
        <f>IF(DAY(FebSun1)=1,"",IF(AND(YEAR(FebSun1+2)=CalendarYear,MONTH(FebSun1+2)=2),FebSun1+2,""))</f>
        <v/>
      </c>
      <c r="C4" s="2" t="str">
        <f>IF(DAY(FebSun1)=1,"",IF(AND(YEAR(FebSun1+3)=CalendarYear,MONTH(FebSun1+3)=2),FebSun1+3,""))</f>
        <v/>
      </c>
      <c r="D4" s="2" t="str">
        <f>IF(DAY(FebSun1)=1,"",IF(AND(YEAR(FebSun1+4)=CalendarYear,MONTH(FebSun1+4)=2),FebSun1+4,""))</f>
        <v/>
      </c>
      <c r="E4" s="2">
        <f>IF(DAY(FebSun1)=1,"",IF(AND(YEAR(FebSun1+5)=CalendarYear,MONTH(FebSun1+5)=2),FebSun1+5,""))</f>
        <v>45323</v>
      </c>
      <c r="F4" s="2">
        <f>IF(DAY(FebSun1)=1,"",IF(AND(YEAR(FebSun1+6)=CalendarYear,MONTH(FebSun1+6)=2),FebSun1+6,""))</f>
        <v>45324</v>
      </c>
      <c r="G4" s="19">
        <f>IF(DAY(FebSun1)=1,IF(AND(YEAR(FebSun1)=CalendarYear,MONTH(FebSun1)=2),FebSun1,""),IF(AND(YEAR(FebSun1+7)=CalendarYear,MONTH(FebSun1+7)=2),FebSun1+7,""))</f>
        <v>45325</v>
      </c>
      <c r="H4" s="1"/>
      <c r="J4" s="7"/>
      <c r="K4" s="7"/>
      <c r="L4" s="7"/>
      <c r="P4" s="10"/>
      <c r="Q4" s="7"/>
    </row>
    <row r="5" spans="1:17" s="10" customFormat="1" ht="78" customHeight="1" x14ac:dyDescent="0.25">
      <c r="A5" s="44" t="s">
        <v>38</v>
      </c>
      <c r="B5" s="48" t="s">
        <v>39</v>
      </c>
      <c r="C5" s="46" t="s">
        <v>40</v>
      </c>
      <c r="D5" s="47" t="s">
        <v>41</v>
      </c>
      <c r="E5" s="46" t="s">
        <v>42</v>
      </c>
      <c r="F5" s="46" t="s">
        <v>43</v>
      </c>
      <c r="G5" s="53"/>
      <c r="I5"/>
    </row>
    <row r="6" spans="1:17" ht="14.25" customHeight="1" x14ac:dyDescent="0.25">
      <c r="A6" s="18">
        <f>IF(DAY(FebSun1)=1,IF(AND(YEAR(FebSun1+1)=CalendarYear,MONTH(FebSun1+1)=2),FebSun1+1,""),IF(AND(YEAR(FebSun1+8)=CalendarYear,MONTH(FebSun1+8)=2),FebSun1+8,""))</f>
        <v>45326</v>
      </c>
      <c r="B6" s="2">
        <f>IF(DAY(FebSun1)=1,IF(AND(YEAR(FebSun1+2)=CalendarYear,MONTH(FebSun1+2)=2),FebSun1+2,""),IF(AND(YEAR(FebSun1+9)=CalendarYear,MONTH(FebSun1+9)=2),FebSun1+9,""))</f>
        <v>45327</v>
      </c>
      <c r="C6" s="2">
        <f>IF(DAY(FebSun1)=1,IF(AND(YEAR(FebSun1+3)=CalendarYear,MONTH(FebSun1+3)=2),FebSun1+3,""),IF(AND(YEAR(FebSun1+10)=CalendarYear,MONTH(FebSun1+10)=2),FebSun1+10,""))</f>
        <v>45328</v>
      </c>
      <c r="D6" s="2">
        <f>IF(DAY(FebSun1)=1,IF(AND(YEAR(FebSun1+4)=CalendarYear,MONTH(FebSun1+4)=2),FebSun1+4,""),IF(AND(YEAR(FebSun1+11)=CalendarYear,MONTH(FebSun1+11)=2),FebSun1+11,""))</f>
        <v>45329</v>
      </c>
      <c r="E6" s="5">
        <f>IF(DAY(FebSun1)=1,IF(AND(YEAR(FebSun1+5)=CalendarYear,MONTH(FebSun1+5)=2),FebSun1+5,""),IF(AND(YEAR(FebSun1+12)=CalendarYear,MONTH(FebSun1+12)=2),FebSun1+12,""))</f>
        <v>45330</v>
      </c>
      <c r="F6" s="2">
        <f>IF(DAY(FebSun1)=1,IF(AND(YEAR(FebSun1+6)=CalendarYear,MONTH(FebSun1+6)=2),FebSun1+6,""),IF(AND(YEAR(FebSun1+13)=CalendarYear,MONTH(FebSun1+13)=2),FebSun1+13,""))</f>
        <v>45331</v>
      </c>
      <c r="G6" s="19">
        <f>IF(DAY(FebSun1)=1,IF(AND(YEAR(FebSun1+7)=CalendarYear,MONTH(FebSun1+7)=2),FebSun1+7,""),IF(AND(YEAR(FebSun1+14)=CalendarYear,MONTH(FebSun1+14)=2),FebSun1+14,""))</f>
        <v>45332</v>
      </c>
      <c r="H6" s="1"/>
    </row>
    <row r="7" spans="1:17" ht="78" customHeight="1" x14ac:dyDescent="0.25">
      <c r="A7" s="55" t="s">
        <v>44</v>
      </c>
      <c r="B7" s="56" t="s">
        <v>45</v>
      </c>
      <c r="C7" s="51"/>
      <c r="D7" s="125" t="s">
        <v>46</v>
      </c>
      <c r="E7" s="52" t="s">
        <v>47</v>
      </c>
      <c r="F7" s="152" t="s">
        <v>48</v>
      </c>
      <c r="G7" s="69" t="s">
        <v>49</v>
      </c>
      <c r="H7" s="1"/>
      <c r="I7"/>
    </row>
    <row r="8" spans="1:17" ht="14.25" customHeight="1" x14ac:dyDescent="0.25">
      <c r="A8" s="20">
        <f>IF(DAY(FebSun1)=1,IF(AND(YEAR(FebSun1+8)=CalendarYear,MONTH(FebSun1+8)=2),FebSun1+8,""),IF(AND(YEAR(FebSun1+15)=CalendarYear,MONTH(FebSun1+15)=2),FebSun1+15,""))</f>
        <v>45333</v>
      </c>
      <c r="B8" s="5">
        <f>IF(DAY(FebSun1)=1,IF(AND(YEAR(FebSun1+9)=CalendarYear,MONTH(FebSun1+9)=2),FebSun1+9,""),IF(AND(YEAR(FebSun1+16)=CalendarYear,MONTH(FebSun1+16)=2),FebSun1+16,""))</f>
        <v>45334</v>
      </c>
      <c r="C8" s="5">
        <f>IF(DAY(FebSun1)=1,IF(AND(YEAR(FebSun1+10)=CalendarYear,MONTH(FebSun1+10)=2),FebSun1+10,""),IF(AND(YEAR(FebSun1+17)=CalendarYear,MONTH(FebSun1+17)=2),FebSun1+17,""))</f>
        <v>45335</v>
      </c>
      <c r="D8" s="5">
        <f>IF(DAY(FebSun1)=1,IF(AND(YEAR(FebSun1+11)=CalendarYear,MONTH(FebSun1+11)=2),FebSun1+11,""),IF(AND(YEAR(FebSun1+18)=CalendarYear,MONTH(FebSun1+18)=2),FebSun1+18,""))</f>
        <v>45336</v>
      </c>
      <c r="E8" s="5">
        <f>IF(DAY(FebSun1)=1,IF(AND(YEAR(FebSun1+12)=CalendarYear,MONTH(FebSun1+12)=2),FebSun1+12,""),IF(AND(YEAR(FebSun1+19)=CalendarYear,MONTH(FebSun1+19)=2),FebSun1+19,""))</f>
        <v>45337</v>
      </c>
      <c r="F8" s="5">
        <f>IF(DAY(FebSun1)=1,IF(AND(YEAR(FebSun1+13)=CalendarYear,MONTH(FebSun1+13)=2),FebSun1+13,""),IF(AND(YEAR(FebSun1+20)=CalendarYear,MONTH(FebSun1+20)=2),FebSun1+20,""))</f>
        <v>45338</v>
      </c>
      <c r="G8" s="21">
        <f>IF(DAY(FebSun1)=1,IF(AND(YEAR(FebSun1+14)=CalendarYear,MONTH(FebSun1+14)=2),FebSun1+14,""),IF(AND(YEAR(FebSun1+21)=CalendarYear,MONTH(FebSun1+21)=2),FebSun1+21,""))</f>
        <v>45339</v>
      </c>
      <c r="H8" s="1"/>
    </row>
    <row r="9" spans="1:17" ht="78" customHeight="1" x14ac:dyDescent="0.25">
      <c r="A9" s="55" t="s">
        <v>50</v>
      </c>
      <c r="B9" s="46" t="s">
        <v>32</v>
      </c>
      <c r="C9" s="125" t="s">
        <v>51</v>
      </c>
      <c r="D9" s="64" t="s">
        <v>52</v>
      </c>
      <c r="E9" s="46" t="s">
        <v>53</v>
      </c>
      <c r="F9" s="4"/>
      <c r="G9" s="49" t="s">
        <v>54</v>
      </c>
      <c r="H9" s="1"/>
    </row>
    <row r="10" spans="1:17" ht="12.75" customHeight="1" x14ac:dyDescent="0.25">
      <c r="A10" s="20">
        <f>IF(DAY(FebSun1)=1,IF(AND(YEAR(FebSun1+15)=CalendarYear,MONTH(FebSun1+15)=2),FebSun1+15,""),IF(AND(YEAR(FebSun1+22)=CalendarYear,MONTH(FebSun1+22)=2),FebSun1+22,""))</f>
        <v>45340</v>
      </c>
      <c r="B10" s="5">
        <f>IF(DAY(FebSun1)=1,IF(AND(YEAR(FebSun1+16)=CalendarYear,MONTH(FebSun1+16)=2),FebSun1+16,""),IF(AND(YEAR(FebSun1+23)=CalendarYear,MONTH(FebSun1+23)=2),FebSun1+23,""))</f>
        <v>45341</v>
      </c>
      <c r="C10" s="5">
        <f>IF(DAY(FebSun1)=1,IF(AND(YEAR(FebSun1+17)=CalendarYear,MONTH(FebSun1+17)=2),FebSun1+17,""),IF(AND(YEAR(FebSun1+24)=CalendarYear,MONTH(FebSun1+24)=2),FebSun1+24,""))</f>
        <v>45342</v>
      </c>
      <c r="D10" s="5">
        <f>IF(DAY(FebSun1)=1,IF(AND(YEAR(FebSun1+18)=CalendarYear,MONTH(FebSun1+18)=2),FebSun1+18,""),IF(AND(YEAR(FebSun1+25)=CalendarYear,MONTH(FebSun1+25)=2),FebSun1+25,""))</f>
        <v>45343</v>
      </c>
      <c r="E10" s="5">
        <f>IF(DAY(FebSun1)=1,IF(AND(YEAR(FebSun1+19)=CalendarYear,MONTH(FebSun1+19)=2),FebSun1+19,""),IF(AND(YEAR(FebSun1+26)=CalendarYear,MONTH(FebSun1+26)=2),FebSun1+26,""))</f>
        <v>45344</v>
      </c>
      <c r="F10" s="5">
        <f>IF(DAY(FebSun1)=1,IF(AND(YEAR(FebSun1+20)=CalendarYear,MONTH(FebSun1+20)=2),FebSun1+20,""),IF(AND(YEAR(FebSun1+27)=CalendarYear,MONTH(FebSun1+27)=2),FebSun1+27,""))</f>
        <v>45345</v>
      </c>
      <c r="G10" s="21">
        <f>IF(DAY(FebSun1)=1,IF(AND(YEAR(FebSun1+21)=CalendarYear,MONTH(FebSun1+21)=2),FebSun1+21,""),IF(AND(YEAR(FebSun1+28)=CalendarYear,MONTH(FebSun1+28)=2),FebSun1+28,""))</f>
        <v>45346</v>
      </c>
      <c r="H10" s="1"/>
    </row>
    <row r="11" spans="1:17" ht="77.25" customHeight="1" x14ac:dyDescent="0.25">
      <c r="A11" s="55" t="s">
        <v>55</v>
      </c>
      <c r="B11" s="3"/>
      <c r="C11" s="46" t="s">
        <v>56</v>
      </c>
      <c r="D11" s="50" t="s">
        <v>10</v>
      </c>
      <c r="E11" s="46" t="s">
        <v>57</v>
      </c>
      <c r="F11" s="46" t="s">
        <v>58</v>
      </c>
      <c r="G11" s="69" t="s">
        <v>59</v>
      </c>
      <c r="H11" s="1"/>
    </row>
    <row r="12" spans="1:17" ht="14.25" customHeight="1" x14ac:dyDescent="0.25">
      <c r="A12" s="20">
        <f>IF(DAY(FebSun1)=1,IF(AND(YEAR(FebSun1+22)=CalendarYear,MONTH(FebSun1+22)=2),FebSun1+22,""),IF(AND(YEAR(FebSun1+29)=CalendarYear,MONTH(FebSun1+29)=2),FebSun1+29,""))</f>
        <v>45347</v>
      </c>
      <c r="B12" s="5">
        <f>IF(DAY(FebSun1)=1,IF(AND(YEAR(FebSun1+23)=CalendarYear,MONTH(FebSun1+23)=2),FebSun1+23,""),IF(AND(YEAR(FebSun1+30)=CalendarYear,MONTH(FebSun1+30)=2),FebSun1+30,""))</f>
        <v>45348</v>
      </c>
      <c r="C12" s="5">
        <f>IF(DAY(FebSun1)=1,IF(AND(YEAR(FebSun1+24)=CalendarYear,MONTH(FebSun1+24)=2),FebSun1+24,""),IF(AND(YEAR(FebSun1+31)=CalendarYear,MONTH(FebSun1+31)=2),FebSun1+31,""))</f>
        <v>45349</v>
      </c>
      <c r="D12" s="5">
        <f>IF(DAY(FebSun1)=1,IF(AND(YEAR(FebSun1+25)=CalendarYear,MONTH(FebSun1+25)=2),FebSun1+25,""),IF(AND(YEAR(FebSun1+32)=CalendarYear,MONTH(FebSun1+32)=2),FebSun1+32,""))</f>
        <v>45350</v>
      </c>
      <c r="E12" s="5">
        <f>IF(DAY(FebSun1)=1,IF(AND(YEAR(FebSun1+26)=CalendarYear,MONTH(FebSun1+26)=2),FebSun1+26,""),IF(AND(YEAR(FebSun1+33)=CalendarYear,MONTH(FebSun1+33)=2),FebSun1+33,""))</f>
        <v>45351</v>
      </c>
      <c r="F12" s="5" t="str">
        <f>IF(DAY(FebSun1)=1,IF(AND(YEAR(FebSun1+27)=CalendarYear,MONTH(FebSun1+27)=2),FebSun1+27,""),IF(AND(YEAR(FebSun1+34)=CalendarYear,MONTH(FebSun1+34)=2),FebSun1+34,""))</f>
        <v/>
      </c>
      <c r="G12" s="21" t="str">
        <f>IF(DAY(FebSun1)=1,IF(AND(YEAR(FebSun1+28)=CalendarYear,MONTH(FebSun1+28)=2),FebSun1+28,""),IF(AND(YEAR(FebSun1+35)=CalendarYear,MONTH(FebSun1+35)=2),FebSun1+35,""))</f>
        <v/>
      </c>
      <c r="H12" s="1"/>
    </row>
    <row r="13" spans="1:17" ht="78" customHeight="1" thickBot="1" x14ac:dyDescent="0.3">
      <c r="A13" s="54"/>
      <c r="B13" s="121" t="s">
        <v>12</v>
      </c>
      <c r="C13" s="180" t="s">
        <v>60</v>
      </c>
      <c r="D13" s="30"/>
      <c r="E13" s="30"/>
      <c r="F13" s="46" t="s">
        <v>61</v>
      </c>
      <c r="G13" s="82"/>
      <c r="H13" s="1"/>
    </row>
    <row r="14" spans="1:17" ht="17.25" customHeight="1" x14ac:dyDescent="0.25">
      <c r="A14" s="215" t="s">
        <v>37</v>
      </c>
      <c r="B14" s="215"/>
      <c r="C14" s="215"/>
      <c r="D14" s="215"/>
      <c r="E14" s="215"/>
      <c r="F14" s="215"/>
      <c r="G14" s="215"/>
    </row>
    <row r="16" spans="1:17" ht="21" customHeight="1" x14ac:dyDescent="0.25">
      <c r="B16" s="11"/>
      <c r="C16" s="12"/>
      <c r="D16" s="13"/>
    </row>
    <row r="17" ht="19.5" customHeight="1" x14ac:dyDescent="0.25"/>
  </sheetData>
  <mergeCells count="2">
    <mergeCell ref="A2:E2"/>
    <mergeCell ref="A14:G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7"/>
  <sheetViews>
    <sheetView showGridLines="0" zoomScaleNormal="100" workbookViewId="0">
      <selection activeCell="A9" sqref="A9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x14ac:dyDescent="0.25"/>
    <row r="2" spans="1:17" ht="57.75" customHeight="1" x14ac:dyDescent="0.25">
      <c r="A2" s="216" t="str">
        <f>UPPER(TEXT(DATE(CalendarYear,3,1),"mmmm yyyy"))</f>
        <v>MARCH 2024</v>
      </c>
      <c r="B2" s="217"/>
      <c r="C2" s="217"/>
      <c r="D2" s="217"/>
      <c r="E2" s="217"/>
      <c r="F2" s="160"/>
      <c r="G2" s="161"/>
    </row>
    <row r="3" spans="1:17" s="6" customFormat="1" ht="29.25" customHeight="1" x14ac:dyDescent="0.25">
      <c r="A3" s="157" t="s">
        <v>0</v>
      </c>
      <c r="B3" s="158" t="s">
        <v>1</v>
      </c>
      <c r="C3" s="158" t="s">
        <v>2</v>
      </c>
      <c r="D3" s="158" t="s">
        <v>3</v>
      </c>
      <c r="E3" s="158" t="s">
        <v>4</v>
      </c>
      <c r="F3" s="158" t="s">
        <v>5</v>
      </c>
      <c r="G3" s="159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IF(DAY(MarSun1)=1,"",IF(AND(YEAR(MarSun1+1)=CalendarYear,MONTH(MarSun1+1)=3),MarSun1+1,""))</f>
        <v/>
      </c>
      <c r="B4" s="2" t="str">
        <f>IF(DAY(MarSun1)=1,"",IF(AND(YEAR(MarSun1+2)=CalendarYear,MONTH(MarSun1+2)=3),MarSun1+2,""))</f>
        <v/>
      </c>
      <c r="C4" s="2" t="str">
        <f>IF(DAY(MarSun1)=1,"",IF(AND(YEAR(MarSun1+3)=CalendarYear,MONTH(MarSun1+3)=3),MarSun1+3,""))</f>
        <v/>
      </c>
      <c r="D4" s="2" t="str">
        <f>IF(DAY(MarSun1)=1,"",IF(AND(YEAR(MarSun1+4)=CalendarYear,MONTH(MarSun1+4)=3),MarSun1+4,""))</f>
        <v/>
      </c>
      <c r="E4" s="2" t="str">
        <f>IF(DAY(MarSun1)=1,"",IF(AND(YEAR(MarSun1+5)=CalendarYear,MONTH(MarSun1+5)=3),MarSun1+5,""))</f>
        <v/>
      </c>
      <c r="F4" s="2">
        <f>IF(DAY(MarSun1)=1,"",IF(AND(YEAR(MarSun1+6)=CalendarYear,MONTH(MarSun1+6)=3),MarSun1+6,""))</f>
        <v>45352</v>
      </c>
      <c r="G4" s="19">
        <f>IF(DAY(MarSun1)=1,IF(AND(YEAR(MarSun1)=CalendarYear,MONTH(MarSun1)=3),MarSun1,""),IF(AND(YEAR(MarSun1+7)=CalendarYear,MONTH(MarSun1+7)=3),MarSun1+7,""))</f>
        <v>45353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44" t="s">
        <v>62</v>
      </c>
      <c r="B5" s="46" t="s">
        <v>63</v>
      </c>
      <c r="C5" s="150" t="s">
        <v>64</v>
      </c>
      <c r="D5" s="46" t="s">
        <v>65</v>
      </c>
      <c r="E5" s="63"/>
      <c r="F5" s="156" t="s">
        <v>28</v>
      </c>
      <c r="G5" s="153" t="s">
        <v>66</v>
      </c>
    </row>
    <row r="6" spans="1:17" ht="14.25" customHeight="1" x14ac:dyDescent="0.25">
      <c r="A6" s="18">
        <f>IF(DAY(MarSun1)=1,IF(AND(YEAR(MarSun1+1)=CalendarYear,MONTH(MarSun1+1)=3),MarSun1+1,""),IF(AND(YEAR(MarSun1+8)=CalendarYear,MONTH(MarSun1+8)=3),MarSun1+8,""))</f>
        <v>45354</v>
      </c>
      <c r="B6" s="2">
        <f>IF(DAY(MarSun1)=1,IF(AND(YEAR(MarSun1+2)=CalendarYear,MONTH(MarSun1+2)=3),MarSun1+2,""),IF(AND(YEAR(MarSun1+9)=CalendarYear,MONTH(MarSun1+9)=3),MarSun1+9,""))</f>
        <v>45355</v>
      </c>
      <c r="C6" s="2">
        <f>IF(DAY(MarSun1)=1,IF(AND(YEAR(MarSun1+3)=CalendarYear,MONTH(MarSun1+3)=3),MarSun1+3,""),IF(AND(YEAR(MarSun1+10)=CalendarYear,MONTH(MarSun1+10)=3),MarSun1+10,""))</f>
        <v>45356</v>
      </c>
      <c r="D6" s="2">
        <f>IF(DAY(MarSun1)=1,IF(AND(YEAR(MarSun1+4)=CalendarYear,MONTH(MarSun1+4)=3),MarSun1+4,""),IF(AND(YEAR(MarSun1+11)=CalendarYear,MONTH(MarSun1+11)=3),MarSun1+11,""))</f>
        <v>45357</v>
      </c>
      <c r="E6" s="2">
        <f>IF(DAY(MarSun1)=1,IF(AND(YEAR(MarSun1+5)=CalendarYear,MONTH(MarSun1+5)=3),MarSun1+5,""),IF(AND(YEAR(MarSun1+12)=CalendarYear,MONTH(MarSun1+12)=3),MarSun1+12,""))</f>
        <v>45358</v>
      </c>
      <c r="F6" s="5">
        <f>IF(DAY(MarSun1)=1,IF(AND(YEAR(MarSun1+6)=CalendarYear,MONTH(MarSun1+6)=3),MarSun1+6,""),IF(AND(YEAR(MarSun1+13)=CalendarYear,MONTH(MarSun1+13)=3),MarSun1+13,""))</f>
        <v>45359</v>
      </c>
      <c r="G6" s="21">
        <f>IF(DAY(MarSun1)=1,IF(AND(YEAR(MarSun1+7)=CalendarYear,MONTH(MarSun1+7)=3),MarSun1+7,""),IF(AND(YEAR(MarSun1+14)=CalendarYear,MONTH(MarSun1+14)=3),MarSun1+14,""))</f>
        <v>45360</v>
      </c>
      <c r="H6" s="1"/>
    </row>
    <row r="7" spans="1:17" ht="78" customHeight="1" x14ac:dyDescent="0.25">
      <c r="A7" s="45"/>
      <c r="B7" s="46" t="s">
        <v>67</v>
      </c>
      <c r="C7" s="155" t="s">
        <v>12</v>
      </c>
      <c r="D7" s="64" t="s">
        <v>68</v>
      </c>
      <c r="E7" s="155" t="s">
        <v>24</v>
      </c>
      <c r="F7" s="64" t="s">
        <v>69</v>
      </c>
      <c r="G7" s="24"/>
      <c r="H7" s="59"/>
    </row>
    <row r="8" spans="1:17" ht="14.25" customHeight="1" x14ac:dyDescent="0.25">
      <c r="A8" s="20">
        <f>IF(DAY(MarSun1)=1,IF(AND(YEAR(MarSun1+8)=CalendarYear,MONTH(MarSun1+8)=3),MarSun1+8,""),IF(AND(YEAR(MarSun1+15)=CalendarYear,MONTH(MarSun1+15)=3),MarSun1+15,""))</f>
        <v>45361</v>
      </c>
      <c r="B8" s="5">
        <f>IF(DAY(MarSun1)=1,IF(AND(YEAR(MarSun1+9)=CalendarYear,MONTH(MarSun1+9)=3),MarSun1+9,""),IF(AND(YEAR(MarSun1+16)=CalendarYear,MONTH(MarSun1+16)=3),MarSun1+16,""))</f>
        <v>45362</v>
      </c>
      <c r="C8" s="5">
        <f>IF(DAY(MarSun1)=1,IF(AND(YEAR(MarSun1+10)=CalendarYear,MONTH(MarSun1+10)=3),MarSun1+10,""),IF(AND(YEAR(MarSun1+17)=CalendarYear,MONTH(MarSun1+17)=3),MarSun1+17,""))</f>
        <v>45363</v>
      </c>
      <c r="D8" s="5">
        <f>IF(DAY(MarSun1)=1,IF(AND(YEAR(MarSun1+11)=CalendarYear,MONTH(MarSun1+11)=3),MarSun1+11,""),IF(AND(YEAR(MarSun1+18)=CalendarYear,MONTH(MarSun1+18)=3),MarSun1+18,""))</f>
        <v>45364</v>
      </c>
      <c r="E8" s="5">
        <f>IF(DAY(MarSun1)=1,IF(AND(YEAR(MarSun1+12)=CalendarYear,MONTH(MarSun1+12)=3),MarSun1+12,""),IF(AND(YEAR(MarSun1+19)=CalendarYear,MONTH(MarSun1+19)=3),MarSun1+19,""))</f>
        <v>45365</v>
      </c>
      <c r="F8" s="5">
        <f>IF(DAY(MarSun1)=1,IF(AND(YEAR(MarSun1+13)=CalendarYear,MONTH(MarSun1+13)=3),MarSun1+13,""),IF(AND(YEAR(MarSun1+20)=CalendarYear,MONTH(MarSun1+20)=3),MarSun1+20,""))</f>
        <v>45366</v>
      </c>
      <c r="G8" s="21">
        <f>IF(DAY(MarSun1)=1,IF(AND(YEAR(MarSun1+14)=CalendarYear,MONTH(MarSun1+14)=3),MarSun1+14,""),IF(AND(YEAR(MarSun1+21)=CalendarYear,MONTH(MarSun1+21)=3),MarSun1+21,""))</f>
        <v>45367</v>
      </c>
      <c r="H8" s="57"/>
      <c r="I8" s="60"/>
    </row>
    <row r="9" spans="1:17" ht="78" customHeight="1" x14ac:dyDescent="0.25">
      <c r="A9" s="45" t="s">
        <v>70</v>
      </c>
      <c r="B9" s="65" t="s">
        <v>71</v>
      </c>
      <c r="C9" s="64" t="s">
        <v>72</v>
      </c>
      <c r="D9" s="64" t="s">
        <v>73</v>
      </c>
      <c r="E9" s="46" t="s">
        <v>74</v>
      </c>
      <c r="F9" s="64" t="s">
        <v>75</v>
      </c>
      <c r="G9" s="66" t="s">
        <v>76</v>
      </c>
      <c r="H9" s="58"/>
    </row>
    <row r="10" spans="1:17" ht="14.25" customHeight="1" x14ac:dyDescent="0.25">
      <c r="A10" s="20">
        <f>IF(DAY(MarSun1)=1,IF(AND(YEAR(MarSun1+15)=CalendarYear,MONTH(MarSun1+15)=3),MarSun1+15,""),IF(AND(YEAR(MarSun1+22)=CalendarYear,MONTH(MarSun1+22)=3),MarSun1+22,""))</f>
        <v>45368</v>
      </c>
      <c r="B10" s="5">
        <f>IF(DAY(MarSun1)=1,IF(AND(YEAR(MarSun1+16)=CalendarYear,MONTH(MarSun1+16)=3),MarSun1+16,""),IF(AND(YEAR(MarSun1+23)=CalendarYear,MONTH(MarSun1+23)=3),MarSun1+23,""))</f>
        <v>45369</v>
      </c>
      <c r="C10" s="5">
        <f>IF(DAY(MarSun1)=1,IF(AND(YEAR(MarSun1+17)=CalendarYear,MONTH(MarSun1+17)=3),MarSun1+17,""),IF(AND(YEAR(MarSun1+24)=CalendarYear,MONTH(MarSun1+24)=3),MarSun1+24,""))</f>
        <v>45370</v>
      </c>
      <c r="D10" s="5">
        <f>IF(DAY(MarSun1)=1,IF(AND(YEAR(MarSun1+18)=CalendarYear,MONTH(MarSun1+18)=3),MarSun1+18,""),IF(AND(YEAR(MarSun1+25)=CalendarYear,MONTH(MarSun1+25)=3),MarSun1+25,""))</f>
        <v>45371</v>
      </c>
      <c r="E10" s="5">
        <f>IF(DAY(MarSun1)=1,IF(AND(YEAR(MarSun1+19)=CalendarYear,MONTH(MarSun1+19)=3),MarSun1+19,""),IF(AND(YEAR(MarSun1+26)=CalendarYear,MONTH(MarSun1+26)=3),MarSun1+26,""))</f>
        <v>45372</v>
      </c>
      <c r="F10" s="5">
        <f>IF(DAY(MarSun1)=1,IF(AND(YEAR(MarSun1+20)=CalendarYear,MONTH(MarSun1+20)=3),MarSun1+20,""),IF(AND(YEAR(MarSun1+27)=CalendarYear,MONTH(MarSun1+27)=3),MarSun1+27,""))</f>
        <v>45373</v>
      </c>
      <c r="G10" s="21">
        <f>IF(DAY(MarSun1)=1,IF(AND(YEAR(MarSun1+21)=CalendarYear,MONTH(MarSun1+21)=3),MarSun1+21,""),IF(AND(YEAR(MarSun1+28)=CalendarYear,MONTH(MarSun1+28)=3),MarSun1+28,""))</f>
        <v>45374</v>
      </c>
      <c r="H10" s="1"/>
      <c r="I10" s="60"/>
    </row>
    <row r="11" spans="1:17" ht="78" customHeight="1" x14ac:dyDescent="0.25">
      <c r="A11" s="68" t="s">
        <v>16</v>
      </c>
      <c r="B11" s="46" t="s">
        <v>18</v>
      </c>
      <c r="C11" s="64" t="s">
        <v>77</v>
      </c>
      <c r="D11" s="3"/>
      <c r="E11" s="46" t="s">
        <v>78</v>
      </c>
      <c r="F11" s="64" t="s">
        <v>79</v>
      </c>
      <c r="G11" s="66" t="s">
        <v>80</v>
      </c>
      <c r="H11" s="62"/>
      <c r="I11" s="60"/>
    </row>
    <row r="12" spans="1:17" ht="14.25" customHeight="1" x14ac:dyDescent="0.25">
      <c r="A12" s="20">
        <f>IF(DAY(MarSun1)=1,IF(AND(YEAR(MarSun1+22)=CalendarYear,MONTH(MarSun1+22)=3),MarSun1+22,""),IF(AND(YEAR(MarSun1+29)=CalendarYear,MONTH(MarSun1+29)=3),MarSun1+29,""))</f>
        <v>45375</v>
      </c>
      <c r="B12" s="5">
        <f>IF(DAY(MarSun1)=1,IF(AND(YEAR(MarSun1+23)=CalendarYear,MONTH(MarSun1+23)=3),MarSun1+23,""),IF(AND(YEAR(MarSun1+30)=CalendarYear,MONTH(MarSun1+30)=3),MarSun1+30,""))</f>
        <v>45376</v>
      </c>
      <c r="C12" s="5">
        <f>IF(DAY(MarSun1)=1,IF(AND(YEAR(MarSun1+24)=CalendarYear,MONTH(MarSun1+24)=3),MarSun1+24,""),IF(AND(YEAR(MarSun1+31)=CalendarYear,MONTH(MarSun1+31)=3),MarSun1+31,""))</f>
        <v>45377</v>
      </c>
      <c r="D12" s="5">
        <f>IF(DAY(MarSun1)=1,IF(AND(YEAR(MarSun1+25)=CalendarYear,MONTH(MarSun1+25)=3),MarSun1+25,""),IF(AND(YEAR(MarSun1+32)=CalendarYear,MONTH(MarSun1+32)=3),MarSun1+32,""))</f>
        <v>45378</v>
      </c>
      <c r="E12" s="5">
        <f>IF(DAY(MarSun1)=1,IF(AND(YEAR(MarSun1+26)=CalendarYear,MONTH(MarSun1+26)=3),MarSun1+26,""),IF(AND(YEAR(MarSun1+33)=CalendarYear,MONTH(MarSun1+33)=3),MarSun1+33,""))</f>
        <v>45379</v>
      </c>
      <c r="F12" s="5">
        <f>IF(DAY(MarSun1)=1,IF(AND(YEAR(MarSun1+27)=CalendarYear,MONTH(MarSun1+27)=3),MarSun1+27,""),IF(AND(YEAR(MarSun1+34)=CalendarYear,MONTH(MarSun1+34)=3),MarSun1+34,""))</f>
        <v>45380</v>
      </c>
      <c r="G12" s="21">
        <f>IF(DAY(MarSun1)=1,IF(AND(YEAR(MarSun1+28)=CalendarYear,MONTH(MarSun1+28)=3),MarSun1+28,""),IF(AND(YEAR(MarSun1+35)=CalendarYear,MONTH(MarSun1+35)=3),MarSun1+35,""))</f>
        <v>45381</v>
      </c>
      <c r="H12" s="61"/>
      <c r="I12" s="58"/>
    </row>
    <row r="13" spans="1:17" ht="78" customHeight="1" thickBot="1" x14ac:dyDescent="0.3">
      <c r="A13" s="29" t="s">
        <v>81</v>
      </c>
      <c r="B13" s="154" t="s">
        <v>82</v>
      </c>
      <c r="C13" s="151" t="s">
        <v>83</v>
      </c>
      <c r="D13" s="120" t="s">
        <v>84</v>
      </c>
      <c r="E13" s="67"/>
      <c r="F13" s="111" t="s">
        <v>85</v>
      </c>
      <c r="G13" s="132"/>
      <c r="H13" s="1"/>
      <c r="I13" s="149"/>
    </row>
    <row r="14" spans="1:17" ht="17.25" customHeight="1" x14ac:dyDescent="0.25">
      <c r="A14" s="215" t="s">
        <v>37</v>
      </c>
      <c r="B14" s="215"/>
      <c r="C14" s="215"/>
      <c r="D14" s="215"/>
      <c r="E14" s="215"/>
      <c r="F14" s="215"/>
      <c r="G14" s="215"/>
      <c r="I14" s="58"/>
    </row>
    <row r="16" spans="1:17" ht="21" customHeight="1" x14ac:dyDescent="0.25">
      <c r="B16" s="11"/>
      <c r="C16" s="12"/>
      <c r="D16" s="13"/>
    </row>
    <row r="17" ht="19.5" customHeight="1" x14ac:dyDescent="0.25"/>
  </sheetData>
  <mergeCells count="2">
    <mergeCell ref="A2:E2"/>
    <mergeCell ref="A14:G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"/>
  <sheetViews>
    <sheetView showGridLines="0" zoomScaleNormal="100" workbookViewId="0">
      <selection activeCell="A2" sqref="A2:E2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/>
    <row r="2" spans="1:17" ht="57.75" customHeight="1" x14ac:dyDescent="0.25">
      <c r="A2" s="213" t="str">
        <f>UPPER(TEXT(DATE(CalendarYear,4,1),"mmmm yyyy"))</f>
        <v>APRIL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96" t="s">
        <v>0</v>
      </c>
      <c r="B3" s="97" t="s">
        <v>1</v>
      </c>
      <c r="C3" s="97" t="s">
        <v>2</v>
      </c>
      <c r="D3" s="97" t="s">
        <v>3</v>
      </c>
      <c r="E3" s="97" t="s">
        <v>4</v>
      </c>
      <c r="F3" s="97" t="s">
        <v>5</v>
      </c>
      <c r="G3" s="98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IF(DAY(AprSun1)=1,"",IF(AND(YEAR(AprSun1+1)=CalendarYear,MONTH(AprSun1+1)=4),AprSun1+1,""))</f>
        <v/>
      </c>
      <c r="B4" s="85">
        <f>IF(DAY(AprSun1)=1,"",IF(AND(YEAR(AprSun1+2)=CalendarYear,MONTH(AprSun1+2)=4),AprSun1+2,""))</f>
        <v>45383</v>
      </c>
      <c r="C4" s="2">
        <f>IF(DAY(AprSun1)=1,"",IF(AND(YEAR(AprSun1+3)=CalendarYear,MONTH(AprSun1+3)=4),AprSun1+3,""))</f>
        <v>45384</v>
      </c>
      <c r="D4" s="85">
        <f>IF(DAY(AprSun1)=1,"",IF(AND(YEAR(AprSun1+4)=CalendarYear,MONTH(AprSun1+4)=4),AprSun1+4,""))</f>
        <v>45385</v>
      </c>
      <c r="E4" s="2">
        <f>IF(DAY(AprSun1)=1,"",IF(AND(YEAR(AprSun1+5)=CalendarYear,MONTH(AprSun1+5)=4),AprSun1+5,""))</f>
        <v>45386</v>
      </c>
      <c r="F4" s="85">
        <f>IF(DAY(AprSun1)=1,"",IF(AND(YEAR(AprSun1+6)=CalendarYear,MONTH(AprSun1+6)=4),AprSun1+6,""))</f>
        <v>45387</v>
      </c>
      <c r="G4" s="19">
        <f>IF(DAY(AprSun1)=1,IF(AND(YEAR(AprSun1)=CalendarYear,MONTH(AprSun1)=4),AprSun1,""),IF(AND(YEAR(AprSun1+7)=CalendarYear,MONTH(AprSun1+7)=4),AprSun1+7,""))</f>
        <v>45388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127"/>
      <c r="B5" s="212" t="s">
        <v>86</v>
      </c>
      <c r="C5" s="46" t="s">
        <v>87</v>
      </c>
      <c r="D5" s="46" t="s">
        <v>88</v>
      </c>
      <c r="E5" s="46" t="s">
        <v>89</v>
      </c>
      <c r="F5" s="88" t="s">
        <v>90</v>
      </c>
      <c r="G5" s="49" t="s">
        <v>91</v>
      </c>
    </row>
    <row r="6" spans="1:17" ht="14.25" customHeight="1" x14ac:dyDescent="0.25">
      <c r="A6" s="146">
        <f>IF(DAY(AprSun1)=1,IF(AND(YEAR(AprSun1+1)=CalendarYear,MONTH(AprSun1+1)=4),AprSun1+1,""),IF(AND(YEAR(AprSun1+8)=CalendarYear,MONTH(AprSun1+8)=4),AprSun1+8,""))</f>
        <v>45389</v>
      </c>
      <c r="B6" s="40">
        <f>IF(DAY(AprSun1)=1,IF(AND(YEAR(AprSun1+2)=CalendarYear,MONTH(AprSun1+2)=4),AprSun1+2,""),IF(AND(YEAR(AprSun1+9)=CalendarYear,MONTH(AprSun1+9)=4),AprSun1+9,""))</f>
        <v>45390</v>
      </c>
      <c r="C6" s="5">
        <f>IF(DAY(AprSun1)=1,IF(AND(YEAR(AprSun1+3)=CalendarYear,MONTH(AprSun1+3)=4),AprSun1+3,""),IF(AND(YEAR(AprSun1+10)=CalendarYear,MONTH(AprSun1+10)=4),AprSun1+10,""))</f>
        <v>45391</v>
      </c>
      <c r="D6" s="40">
        <f>IF(DAY(AprSun1)=1,IF(AND(YEAR(AprSun1+4)=CalendarYear,MONTH(AprSun1+4)=4),AprSun1+4,""),IF(AND(YEAR(AprSun1+11)=CalendarYear,MONTH(AprSun1+11)=4),AprSun1+11,""))</f>
        <v>45392</v>
      </c>
      <c r="E6" s="5">
        <f>IF(DAY(AprSun1)=1,IF(AND(YEAR(AprSun1+5)=CalendarYear,MONTH(AprSun1+5)=4),AprSun1+5,""),IF(AND(YEAR(AprSun1+12)=CalendarYear,MONTH(AprSun1+12)=4),AprSun1+12,""))</f>
        <v>45393</v>
      </c>
      <c r="F6" s="40">
        <f>IF(DAY(AprSun1)=1,IF(AND(YEAR(AprSun1+6)=CalendarYear,MONTH(AprSun1+6)=4),AprSun1+6,""),IF(AND(YEAR(AprSun1+13)=CalendarYear,MONTH(AprSun1+13)=4),AprSun1+13,""))</f>
        <v>45394</v>
      </c>
      <c r="G6" s="21">
        <f>IF(DAY(AprSun1)=1,IF(AND(YEAR(AprSun1+7)=CalendarYear,MONTH(AprSun1+7)=4),AprSun1+7,""),IF(AND(YEAR(AprSun1+14)=CalendarYear,MONTH(AprSun1+14)=4),AprSun1+14,""))</f>
        <v>45395</v>
      </c>
    </row>
    <row r="7" spans="1:17" ht="78" customHeight="1" x14ac:dyDescent="0.25">
      <c r="A7" s="91" t="s">
        <v>92</v>
      </c>
      <c r="B7" s="75" t="s">
        <v>93</v>
      </c>
      <c r="C7" s="99" t="s">
        <v>94</v>
      </c>
      <c r="D7" s="87" t="s">
        <v>95</v>
      </c>
      <c r="E7" s="179" t="s">
        <v>96</v>
      </c>
      <c r="F7" s="100" t="s">
        <v>97</v>
      </c>
      <c r="G7" s="101" t="s">
        <v>55</v>
      </c>
      <c r="H7" s="1"/>
    </row>
    <row r="8" spans="1:17" ht="14.25" customHeight="1" x14ac:dyDescent="0.25">
      <c r="A8" s="18">
        <f>IF(DAY(AprSun1)=1,IF(AND(YEAR(AprSun1+8)=CalendarYear,MONTH(AprSun1+8)=4),AprSun1+8,""),IF(AND(YEAR(AprSun1+15)=CalendarYear,MONTH(AprSun1+15)=4),AprSun1+15,""))</f>
        <v>45396</v>
      </c>
      <c r="B8" s="85">
        <f>IF(DAY(AprSun1)=1,IF(AND(YEAR(AprSun1+9)=CalendarYear,MONTH(AprSun1+9)=4),AprSun1+9,""),IF(AND(YEAR(AprSun1+16)=CalendarYear,MONTH(AprSun1+16)=4),AprSun1+16,""))</f>
        <v>45397</v>
      </c>
      <c r="C8" s="2">
        <f>IF(DAY(AprSun1)=1,IF(AND(YEAR(AprSun1+10)=CalendarYear,MONTH(AprSun1+10)=4),AprSun1+10,""),IF(AND(YEAR(AprSun1+17)=CalendarYear,MONTH(AprSun1+17)=4),AprSun1+17,""))</f>
        <v>45398</v>
      </c>
      <c r="D8" s="85">
        <f>IF(DAY(AprSun1)=1,IF(AND(YEAR(AprSun1+11)=CalendarYear,MONTH(AprSun1+11)=4),AprSun1+11,""),IF(AND(YEAR(AprSun1+18)=CalendarYear,MONTH(AprSun1+18)=4),AprSun1+18,""))</f>
        <v>45399</v>
      </c>
      <c r="E8" s="2">
        <f>IF(DAY(AprSun1)=1,IF(AND(YEAR(AprSun1+12)=CalendarYear,MONTH(AprSun1+12)=4),AprSun1+12,""),IF(AND(YEAR(AprSun1+19)=CalendarYear,MONTH(AprSun1+19)=4),AprSun1+19,""))</f>
        <v>45400</v>
      </c>
      <c r="F8" s="85">
        <f>IF(DAY(AprSun1)=1,IF(AND(YEAR(AprSun1+13)=CalendarYear,MONTH(AprSun1+13)=4),AprSun1+13,""),IF(AND(YEAR(AprSun1+20)=CalendarYear,MONTH(AprSun1+20)=4),AprSun1+20,""))</f>
        <v>45401</v>
      </c>
      <c r="G8" s="19">
        <f>IF(DAY(AprSun1)=1,IF(AND(YEAR(AprSun1+14)=CalendarYear,MONTH(AprSun1+14)=4),AprSun1+14,""),IF(AND(YEAR(AprSun1+21)=CalendarYear,MONTH(AprSun1+21)=4),AprSun1+21,""))</f>
        <v>45402</v>
      </c>
      <c r="H8" s="1"/>
    </row>
    <row r="9" spans="1:17" ht="78" customHeight="1" x14ac:dyDescent="0.25">
      <c r="A9" s="55" t="s">
        <v>357</v>
      </c>
      <c r="B9" s="88" t="s">
        <v>98</v>
      </c>
      <c r="C9" s="50" t="s">
        <v>99</v>
      </c>
      <c r="D9" s="95"/>
      <c r="E9" s="48" t="s">
        <v>100</v>
      </c>
      <c r="F9" s="88" t="s">
        <v>101</v>
      </c>
      <c r="G9" s="49" t="s">
        <v>102</v>
      </c>
      <c r="H9" s="1"/>
      <c r="K9" s="63"/>
    </row>
    <row r="10" spans="1:17" ht="14.25" customHeight="1" x14ac:dyDescent="0.25">
      <c r="A10" s="20">
        <f>IF(DAY(AprSun1)=1,IF(AND(YEAR(AprSun1+15)=CalendarYear,MONTH(AprSun1+15)=4),AprSun1+15,""),IF(AND(YEAR(AprSun1+22)=CalendarYear,MONTH(AprSun1+22)=4),AprSun1+22,""))</f>
        <v>45403</v>
      </c>
      <c r="B10" s="40">
        <f>IF(DAY(AprSun1)=1,IF(AND(YEAR(AprSun1+16)=CalendarYear,MONTH(AprSun1+16)=4),AprSun1+16,""),IF(AND(YEAR(AprSun1+23)=CalendarYear,MONTH(AprSun1+23)=4),AprSun1+23,""))</f>
        <v>45404</v>
      </c>
      <c r="C10" s="5">
        <f>IF(DAY(AprSun1)=1,IF(AND(YEAR(AprSun1+17)=CalendarYear,MONTH(AprSun1+17)=4),AprSun1+17,""),IF(AND(YEAR(AprSun1+24)=CalendarYear,MONTH(AprSun1+24)=4),AprSun1+24,""))</f>
        <v>45405</v>
      </c>
      <c r="D10" s="40">
        <f>IF(DAY(AprSun1)=1,IF(AND(YEAR(AprSun1+18)=CalendarYear,MONTH(AprSun1+18)=4),AprSun1+18,""),IF(AND(YEAR(AprSun1+25)=CalendarYear,MONTH(AprSun1+25)=4),AprSun1+25,""))</f>
        <v>45406</v>
      </c>
      <c r="E10" s="5">
        <f>IF(DAY(AprSun1)=1,IF(AND(YEAR(AprSun1+19)=CalendarYear,MONTH(AprSun1+19)=4),AprSun1+19,""),IF(AND(YEAR(AprSun1+26)=CalendarYear,MONTH(AprSun1+26)=4),AprSun1+26,""))</f>
        <v>45407</v>
      </c>
      <c r="F10" s="40">
        <f>IF(DAY(AprSun1)=1,IF(AND(YEAR(AprSun1+20)=CalendarYear,MONTH(AprSun1+20)=4),AprSun1+20,""),IF(AND(YEAR(AprSun1+27)=CalendarYear,MONTH(AprSun1+27)=4),AprSun1+27,""))</f>
        <v>45408</v>
      </c>
      <c r="G10" s="21">
        <f>IF(DAY(AprSun1)=1,IF(AND(YEAR(AprSun1+21)=CalendarYear,MONTH(AprSun1+21)=4),AprSun1+21,""),IF(AND(YEAR(AprSun1+28)=CalendarYear,MONTH(AprSun1+28)=4),AprSun1+28,""))</f>
        <v>45409</v>
      </c>
      <c r="H10" s="1"/>
    </row>
    <row r="11" spans="1:17" ht="78" customHeight="1" x14ac:dyDescent="0.25">
      <c r="A11" s="91" t="s">
        <v>103</v>
      </c>
      <c r="B11" s="75" t="s">
        <v>104</v>
      </c>
      <c r="C11" s="179"/>
      <c r="D11" s="75" t="s">
        <v>105</v>
      </c>
      <c r="E11" s="179" t="s">
        <v>106</v>
      </c>
      <c r="F11" s="83" t="s">
        <v>107</v>
      </c>
      <c r="G11" s="182" t="s">
        <v>108</v>
      </c>
      <c r="H11" s="1"/>
    </row>
    <row r="12" spans="1:17" ht="14.25" customHeight="1" x14ac:dyDescent="0.25">
      <c r="A12" s="18">
        <f>IF(DAY(AprSun1)=1,IF(AND(YEAR(AprSun1+22)=CalendarYear,MONTH(AprSun1+22)=4),AprSun1+22,""),IF(AND(YEAR(AprSun1+29)=CalendarYear,MONTH(AprSun1+29)=4),AprSun1+29,""))</f>
        <v>45410</v>
      </c>
      <c r="B12" s="85">
        <f>IF(DAY(AprSun1)=1,IF(AND(YEAR(AprSun1+23)=CalendarYear,MONTH(AprSun1+23)=4),AprSun1+23,""),IF(AND(YEAR(AprSun1+30)=CalendarYear,MONTH(AprSun1+30)=4),AprSun1+30,""))</f>
        <v>45411</v>
      </c>
      <c r="C12" s="2">
        <f>IF(DAY(AprSun1)=1,IF(AND(YEAR(AprSun1+24)=CalendarYear,MONTH(AprSun1+24)=4),AprSun1+24,""),IF(AND(YEAR(AprSun1+31)=CalendarYear,MONTH(AprSun1+31)=4),AprSun1+31,""))</f>
        <v>45412</v>
      </c>
      <c r="D12" s="85" t="str">
        <f>IF(DAY(AprSun1)=1,IF(AND(YEAR(AprSun1+25)=CalendarYear,MONTH(AprSun1+25)=4),AprSun1+25,""),IF(AND(YEAR(AprSun1+32)=CalendarYear,MONTH(AprSun1+32)=4),AprSun1+32,""))</f>
        <v/>
      </c>
      <c r="E12" s="2" t="str">
        <f>IF(DAY(AprSun1)=1,IF(AND(YEAR(AprSun1+26)=CalendarYear,MONTH(AprSun1+26)=4),AprSun1+26,""),IF(AND(YEAR(AprSun1+33)=CalendarYear,MONTH(AprSun1+33)=4),AprSun1+33,""))</f>
        <v/>
      </c>
      <c r="F12" s="85" t="str">
        <f>IF(DAY(AprSun1)=1,IF(AND(YEAR(AprSun1+27)=CalendarYear,MONTH(AprSun1+27)=4),AprSun1+27,""),IF(AND(YEAR(AprSun1+34)=CalendarYear,MONTH(AprSun1+34)=4),AprSun1+34,""))</f>
        <v/>
      </c>
      <c r="G12" s="19" t="str">
        <f>IF(DAY(AprSun1)=1,IF(AND(YEAR(AprSun1+28)=CalendarYear,MONTH(AprSun1+28)=4),AprSun1+28,""),IF(AND(YEAR(AprSun1+35)=CalendarYear,MONTH(AprSun1+35)=4),AprSun1+35,""))</f>
        <v/>
      </c>
      <c r="H12" s="1"/>
    </row>
    <row r="13" spans="1:17" ht="14.25" customHeight="1" x14ac:dyDescent="0.25">
      <c r="A13" s="20" t="str">
        <f>IF(DAY(AprSun1)=1,IF(AND(YEAR(AprSun1+29)=CalendarYear,MONTH(AprSun1+29)=4),AprSun1+29,""),IF(AND(YEAR(AprSun1+36)=CalendarYear,MONTH(AprSun1+36)=4),AprSun1+36,""))</f>
        <v/>
      </c>
      <c r="B13" s="218" t="s">
        <v>109</v>
      </c>
      <c r="C13" s="218" t="s">
        <v>110</v>
      </c>
      <c r="D13" s="218" t="s">
        <v>32</v>
      </c>
      <c r="E13" s="5"/>
      <c r="G13" s="21"/>
      <c r="H13" s="1"/>
    </row>
    <row r="14" spans="1:17" ht="63.75" customHeight="1" thickBot="1" x14ac:dyDescent="0.3">
      <c r="A14" s="71" t="s">
        <v>111</v>
      </c>
      <c r="B14" s="219"/>
      <c r="C14" s="219"/>
      <c r="D14" s="219"/>
      <c r="E14" s="30"/>
      <c r="G14" s="31"/>
      <c r="H14" s="1"/>
    </row>
    <row r="15" spans="1:17" ht="17.25" customHeight="1" x14ac:dyDescent="0.25">
      <c r="A15" s="215" t="s">
        <v>37</v>
      </c>
      <c r="B15" s="215"/>
      <c r="C15" s="215"/>
      <c r="D15" s="215"/>
      <c r="E15" s="215"/>
      <c r="F15" s="215"/>
      <c r="G15" s="215"/>
    </row>
    <row r="17" spans="2:4" ht="21" customHeight="1" x14ac:dyDescent="0.25">
      <c r="B17" s="11"/>
      <c r="C17" s="12"/>
      <c r="D17" s="13"/>
    </row>
    <row r="18" spans="2:4" ht="19.5" customHeight="1" x14ac:dyDescent="0.25"/>
  </sheetData>
  <mergeCells count="5">
    <mergeCell ref="A2:E2"/>
    <mergeCell ref="A15:G15"/>
    <mergeCell ref="B13:B14"/>
    <mergeCell ref="C13:C14"/>
    <mergeCell ref="D13:D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9ABC-666F-4129-A2D4-30B77C2E3513}">
  <dimension ref="A1:Q17"/>
  <sheetViews>
    <sheetView showGridLines="0" zoomScaleNormal="100" workbookViewId="0">
      <selection activeCell="A2" sqref="A2:G13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/>
    <row r="2" spans="1:17" ht="57.75" customHeight="1" x14ac:dyDescent="0.25">
      <c r="A2" s="213" t="str">
        <f>UPPER(TEXT(DATE(CalendarYear,5,1),"mmmm yyyy"))</f>
        <v>MAY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96" t="s">
        <v>0</v>
      </c>
      <c r="B3" s="97" t="s">
        <v>1</v>
      </c>
      <c r="C3" s="97" t="s">
        <v>2</v>
      </c>
      <c r="D3" s="97" t="s">
        <v>3</v>
      </c>
      <c r="E3" s="97" t="s">
        <v>4</v>
      </c>
      <c r="F3" s="97" t="s">
        <v>5</v>
      </c>
      <c r="G3" s="98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68" t="str">
        <f>IF(DAY(MaySun1)=1,"",IF(AND(YEAR(MaySun1+1)=CalendarYear,MONTH(MaySun1+1)=5),MaySun1+1,""))</f>
        <v/>
      </c>
      <c r="B4" s="2" t="str">
        <f>IF(DAY(MaySun1)=1,"",IF(AND(YEAR(MaySun1+2)=CalendarYear,MONTH(MaySun1+2)=5),MaySun1+2,""))</f>
        <v/>
      </c>
      <c r="C4" s="85" t="str">
        <f>IF(DAY(MaySun1)=1,"",IF(AND(YEAR(MaySun1+3)=CalendarYear,MONTH(MaySun1+3)=5),MaySun1+3,""))</f>
        <v/>
      </c>
      <c r="D4" s="2">
        <f>IF(DAY(MaySun1)=1,"",IF(AND(YEAR(MaySun1+4)=CalendarYear,MONTH(MaySun1+4)=5),MaySun1+4,""))</f>
        <v>45413</v>
      </c>
      <c r="E4" s="85">
        <f>IF(DAY(MaySun1)=1,"",IF(AND(YEAR(MaySun1+5)=CalendarYear,MONTH(MaySun1+5)=5),MaySun1+5,""))</f>
        <v>45414</v>
      </c>
      <c r="F4" s="2">
        <f>IF(DAY(MaySun1)=1,"",IF(AND(YEAR(MaySun1+6)=CalendarYear,MONTH(MaySun1+6)=5),MaySun1+6,""))</f>
        <v>45415</v>
      </c>
      <c r="G4" s="167">
        <f>IF(DAY(MaySun1)=1,IF(AND(YEAR(MaySun1)=CalendarYear,MONTH(MaySun1)=5),MaySun1,""),IF(AND(YEAR(MaySun1+7)=CalendarYear,MONTH(MaySun1+7)=5),MaySun1+7,""))</f>
        <v>45416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178"/>
      <c r="B5" s="47" t="s">
        <v>112</v>
      </c>
      <c r="C5" s="102" t="s">
        <v>113</v>
      </c>
      <c r="D5" s="177" t="s">
        <v>114</v>
      </c>
      <c r="E5" s="87" t="s">
        <v>115</v>
      </c>
      <c r="F5" s="4"/>
      <c r="G5" s="176" t="s">
        <v>116</v>
      </c>
      <c r="H5" s="1"/>
    </row>
    <row r="6" spans="1:17" ht="14.25" customHeight="1" x14ac:dyDescent="0.25">
      <c r="A6" s="172">
        <f>IF(DAY(MaySun1)=1,IF(AND(YEAR(MaySun1+1)=CalendarYear,MONTH(MaySun1+1)=5),MaySun1+1,""),IF(AND(YEAR(MaySun1+8)=CalendarYear,MONTH(MaySun1+8)=5),MaySun1+8,""))</f>
        <v>45417</v>
      </c>
      <c r="B6" s="5">
        <f>IF(DAY(MaySun1)=1,IF(AND(YEAR(MaySun1+2)=CalendarYear,MONTH(MaySun1+2)=5),MaySun1+2,""),IF(AND(YEAR(MaySun1+9)=CalendarYear,MONTH(MaySun1+9)=5),MaySun1+9,""))</f>
        <v>45418</v>
      </c>
      <c r="C6" s="40">
        <f>IF(DAY(MaySun1)=1,IF(AND(YEAR(MaySun1+3)=CalendarYear,MONTH(MaySun1+3)=5),MaySun1+3,""),IF(AND(YEAR(MaySun1+10)=CalendarYear,MONTH(MaySun1+10)=5),MaySun1+10,""))</f>
        <v>45419</v>
      </c>
      <c r="D6" s="5">
        <f>IF(DAY(MaySun1)=1,IF(AND(YEAR(MaySun1+4)=CalendarYear,MONTH(MaySun1+4)=5),MaySun1+4,""),IF(AND(YEAR(MaySun1+11)=CalendarYear,MONTH(MaySun1+11)=5),MaySun1+11,""))</f>
        <v>45420</v>
      </c>
      <c r="E6" s="40">
        <f>IF(DAY(MaySun1)=1,IF(AND(YEAR(MaySun1+5)=CalendarYear,MONTH(MaySun1+5)=5),MaySun1+5,""),IF(AND(YEAR(MaySun1+12)=CalendarYear,MONTH(MaySun1+12)=5),MaySun1+12,""))</f>
        <v>45421</v>
      </c>
      <c r="F6" s="5">
        <f>IF(DAY(MaySun1)=1,IF(AND(YEAR(MaySun1+6)=CalendarYear,MONTH(MaySun1+6)=5),MaySun1+6,""),IF(AND(YEAR(MaySun1+13)=CalendarYear,MONTH(MaySun1+13)=5),MaySun1+13,""))</f>
        <v>45422</v>
      </c>
      <c r="G6" s="171">
        <f>IF(DAY(MaySun1)=1,IF(AND(YEAR(MaySun1+7)=CalendarYear,MONTH(MaySun1+7)=5),MaySun1+7,""),IF(AND(YEAR(MaySun1+14)=CalendarYear,MONTH(MaySun1+14)=5),MaySun1+14,""))</f>
        <v>45423</v>
      </c>
      <c r="H6" s="1"/>
    </row>
    <row r="7" spans="1:17" ht="78" customHeight="1" x14ac:dyDescent="0.25">
      <c r="A7" s="103" t="s">
        <v>117</v>
      </c>
      <c r="B7" s="133" t="s">
        <v>118</v>
      </c>
      <c r="C7" s="149" t="s">
        <v>119</v>
      </c>
      <c r="D7" s="179" t="s">
        <v>120</v>
      </c>
      <c r="E7" s="75" t="s">
        <v>121</v>
      </c>
      <c r="F7" s="175" t="s">
        <v>122</v>
      </c>
      <c r="G7" s="169" t="s">
        <v>123</v>
      </c>
      <c r="H7" s="1"/>
    </row>
    <row r="8" spans="1:17" ht="14.25" customHeight="1" x14ac:dyDescent="0.25">
      <c r="A8" s="168">
        <f>IF(DAY(MaySun1)=1,IF(AND(YEAR(MaySun1+8)=CalendarYear,MONTH(MaySun1+8)=5),MaySun1+8,""),IF(AND(YEAR(MaySun1+15)=CalendarYear,MONTH(MaySun1+15)=5),MaySun1+15,""))</f>
        <v>45424</v>
      </c>
      <c r="B8" s="2">
        <f>IF(DAY(MaySun1)=1,IF(AND(YEAR(MaySun1+9)=CalendarYear,MONTH(MaySun1+9)=5),MaySun1+9,""),IF(AND(YEAR(MaySun1+16)=CalendarYear,MONTH(MaySun1+16)=5),MaySun1+16,""))</f>
        <v>45425</v>
      </c>
      <c r="C8" s="85">
        <f>IF(DAY(MaySun1)=1,IF(AND(YEAR(MaySun1+10)=CalendarYear,MONTH(MaySun1+10)=5),MaySun1+10,""),IF(AND(YEAR(MaySun1+17)=CalendarYear,MONTH(MaySun1+17)=5),MaySun1+17,""))</f>
        <v>45426</v>
      </c>
      <c r="D8" s="2">
        <f>IF(DAY(MaySun1)=1,IF(AND(YEAR(MaySun1+11)=CalendarYear,MONTH(MaySun1+11)=5),MaySun1+11,""),IF(AND(YEAR(MaySun1+18)=CalendarYear,MONTH(MaySun1+18)=5),MaySun1+18,""))</f>
        <v>45427</v>
      </c>
      <c r="E8" s="85">
        <f>IF(DAY(MaySun1)=1,IF(AND(YEAR(MaySun1+12)=CalendarYear,MONTH(MaySun1+12)=5),MaySun1+12,""),IF(AND(YEAR(MaySun1+19)=CalendarYear,MONTH(MaySun1+19)=5),MaySun1+19,""))</f>
        <v>45428</v>
      </c>
      <c r="F8" s="2">
        <f>IF(DAY(MaySun1)=1,IF(AND(YEAR(MaySun1+13)=CalendarYear,MONTH(MaySun1+13)=5),MaySun1+13,""),IF(AND(YEAR(MaySun1+20)=CalendarYear,MONTH(MaySun1+20)=5),MaySun1+20,""))</f>
        <v>45429</v>
      </c>
      <c r="G8" s="167">
        <f>IF(DAY(MaySun1)=1,IF(AND(YEAR(MaySun1+14)=CalendarYear,MONTH(MaySun1+14)=5),MaySun1+14,""),IF(AND(YEAR(MaySun1+21)=CalendarYear,MONTH(MaySun1+21)=5),MaySun1+21,""))</f>
        <v>45430</v>
      </c>
      <c r="H8" s="1"/>
    </row>
    <row r="9" spans="1:17" ht="78" customHeight="1" x14ac:dyDescent="0.25">
      <c r="A9" s="174" t="s">
        <v>124</v>
      </c>
      <c r="B9" s="122" t="s">
        <v>125</v>
      </c>
      <c r="C9" s="87"/>
      <c r="D9" s="46" t="s">
        <v>126</v>
      </c>
      <c r="E9" s="87" t="s">
        <v>127</v>
      </c>
      <c r="F9" s="134" t="s">
        <v>128</v>
      </c>
      <c r="G9" s="173"/>
      <c r="H9" s="1"/>
    </row>
    <row r="10" spans="1:17" ht="14.25" customHeight="1" x14ac:dyDescent="0.25">
      <c r="A10" s="172">
        <f>IF(DAY(MaySun1)=1,IF(AND(YEAR(MaySun1+15)=CalendarYear,MONTH(MaySun1+15)=5),MaySun1+15,""),IF(AND(YEAR(MaySun1+22)=CalendarYear,MONTH(MaySun1+22)=5),MaySun1+22,""))</f>
        <v>45431</v>
      </c>
      <c r="B10" s="5">
        <f>IF(DAY(MaySun1)=1,IF(AND(YEAR(MaySun1+16)=CalendarYear,MONTH(MaySun1+16)=5),MaySun1+16,""),IF(AND(YEAR(MaySun1+23)=CalendarYear,MONTH(MaySun1+23)=5),MaySun1+23,""))</f>
        <v>45432</v>
      </c>
      <c r="C10" s="40">
        <f>IF(DAY(MaySun1)=1,IF(AND(YEAR(MaySun1+17)=CalendarYear,MONTH(MaySun1+17)=5),MaySun1+17,""),IF(AND(YEAR(MaySun1+24)=CalendarYear,MONTH(MaySun1+24)=5),MaySun1+24,""))</f>
        <v>45433</v>
      </c>
      <c r="D10" s="5">
        <f>IF(DAY(MaySun1)=1,IF(AND(YEAR(MaySun1+18)=CalendarYear,MONTH(MaySun1+18)=5),MaySun1+18,""),IF(AND(YEAR(MaySun1+25)=CalendarYear,MONTH(MaySun1+25)=5),MaySun1+25,""))</f>
        <v>45434</v>
      </c>
      <c r="E10" s="40">
        <f>IF(DAY(MaySun1)=1,IF(AND(YEAR(MaySun1+19)=CalendarYear,MONTH(MaySun1+19)=5),MaySun1+19,""),IF(AND(YEAR(MaySun1+26)=CalendarYear,MONTH(MaySun1+26)=5),MaySun1+26,""))</f>
        <v>45435</v>
      </c>
      <c r="F10" s="5">
        <f>IF(DAY(MaySun1)=1,IF(AND(YEAR(MaySun1+20)=CalendarYear,MONTH(MaySun1+20)=5),MaySun1+20,""),IF(AND(YEAR(MaySun1+27)=CalendarYear,MONTH(MaySun1+27)=5),MaySun1+27,""))</f>
        <v>45436</v>
      </c>
      <c r="G10" s="171">
        <f>IF(DAY(MaySun1)=1,IF(AND(YEAR(MaySun1+21)=CalendarYear,MONTH(MaySun1+21)=5),MaySun1+21,""),IF(AND(YEAR(MaySun1+28)=CalendarYear,MONTH(MaySun1+28)=5),MaySun1+28,""))</f>
        <v>45437</v>
      </c>
      <c r="H10" s="1"/>
    </row>
    <row r="11" spans="1:17" ht="78" customHeight="1" x14ac:dyDescent="0.25">
      <c r="A11" s="103"/>
      <c r="B11" s="179" t="s">
        <v>129</v>
      </c>
      <c r="C11" s="75" t="s">
        <v>130</v>
      </c>
      <c r="D11" s="179" t="s">
        <v>131</v>
      </c>
      <c r="E11" s="75" t="s">
        <v>132</v>
      </c>
      <c r="F11" s="170" t="s">
        <v>82</v>
      </c>
      <c r="G11" s="169" t="s">
        <v>133</v>
      </c>
      <c r="H11" s="1"/>
    </row>
    <row r="12" spans="1:17" ht="14.25" customHeight="1" x14ac:dyDescent="0.25">
      <c r="A12" s="168">
        <f>IF(DAY(MaySun1)=1,IF(AND(YEAR(MaySun1+22)=CalendarYear,MONTH(MaySun1+22)=5),MaySun1+22,""),IF(AND(YEAR(MaySun1+29)=CalendarYear,MONTH(MaySun1+29)=5),MaySun1+29,""))</f>
        <v>45438</v>
      </c>
      <c r="B12" s="2">
        <f>IF(DAY(MaySun1)=1,IF(AND(YEAR(MaySun1+23)=CalendarYear,MONTH(MaySun1+23)=5),MaySun1+23,""),IF(AND(YEAR(MaySun1+30)=CalendarYear,MONTH(MaySun1+30)=5),MaySun1+30,""))</f>
        <v>45439</v>
      </c>
      <c r="C12" s="85">
        <f>IF(DAY(MaySun1)=1,IF(AND(YEAR(MaySun1+24)=CalendarYear,MONTH(MaySun1+24)=5),MaySun1+24,""),IF(AND(YEAR(MaySun1+31)=CalendarYear,MONTH(MaySun1+31)=5),MaySun1+31,""))</f>
        <v>45440</v>
      </c>
      <c r="D12" s="2">
        <f>IF(DAY(MaySun1)=1,IF(AND(YEAR(MaySun1+25)=CalendarYear,MONTH(MaySun1+25)=5),MaySun1+25,""),IF(AND(YEAR(MaySun1+32)=CalendarYear,MONTH(MaySun1+32)=5),MaySun1+32,""))</f>
        <v>45441</v>
      </c>
      <c r="E12" s="85">
        <f>IF(DAY(MaySun1)=1,IF(AND(YEAR(MaySun1+26)=CalendarYear,MONTH(MaySun1+26)=5),MaySun1+26,""),IF(AND(YEAR(MaySun1+33)=CalendarYear,MONTH(MaySun1+33)=5),MaySun1+33,""))</f>
        <v>45442</v>
      </c>
      <c r="F12" s="2">
        <f>IF(DAY(MaySun1)=1,IF(AND(YEAR(MaySun1+27)=CalendarYear,MONTH(MaySun1+27)=5),MaySun1+27,""),IF(AND(YEAR(MaySun1+34)=CalendarYear,MONTH(MaySun1+34)=5),MaySun1+34,""))</f>
        <v>45443</v>
      </c>
      <c r="G12" s="167" t="str">
        <f>IF(DAY(MaySun1)=1,IF(AND(YEAR(MaySun1+28)=CalendarYear,MONTH(MaySun1+28)=5),MaySun1+28,""),IF(AND(YEAR(MaySun1+35)=CalendarYear,MONTH(MaySun1+35)=5),MaySun1+35,""))</f>
        <v/>
      </c>
      <c r="H12" s="1"/>
    </row>
    <row r="13" spans="1:17" ht="78" customHeight="1" thickBot="1" x14ac:dyDescent="0.3">
      <c r="A13" s="166" t="s">
        <v>134</v>
      </c>
      <c r="B13" s="165" t="s">
        <v>135</v>
      </c>
      <c r="C13" s="164" t="s">
        <v>46</v>
      </c>
      <c r="D13" s="180" t="s">
        <v>136</v>
      </c>
      <c r="E13" s="163"/>
      <c r="F13" s="181" t="s">
        <v>137</v>
      </c>
      <c r="G13" s="162" t="s">
        <v>72</v>
      </c>
      <c r="H13" s="1"/>
    </row>
    <row r="14" spans="1:17" ht="17.25" customHeight="1" x14ac:dyDescent="0.25">
      <c r="A14" s="215" t="s">
        <v>138</v>
      </c>
      <c r="B14" s="215"/>
      <c r="C14" s="215"/>
      <c r="D14" s="215"/>
      <c r="E14" s="215"/>
      <c r="F14" s="215"/>
      <c r="G14" s="215"/>
    </row>
    <row r="15" spans="1:17" x14ac:dyDescent="0.25">
      <c r="D15" s="12"/>
    </row>
    <row r="16" spans="1:17" ht="21" customHeight="1" x14ac:dyDescent="0.25">
      <c r="B16" s="11"/>
      <c r="C16" s="12"/>
      <c r="D16" s="13"/>
    </row>
    <row r="17" ht="19.5" customHeight="1" x14ac:dyDescent="0.25"/>
  </sheetData>
  <mergeCells count="2">
    <mergeCell ref="A2:E2"/>
    <mergeCell ref="A14:G14"/>
  </mergeCells>
  <hyperlinks>
    <hyperlink ref="D5" r:id="rId1" xr:uid="{D9616A6E-0329-4193-BB3A-1E3353F84EBA}"/>
    <hyperlink ref="B7" r:id="rId2" display="Do not use extension           cords that have              exposed wires." xr:uid="{0B199CD5-1CDB-4E89-A233-A52AC4EFBB2A}"/>
    <hyperlink ref="B9" r:id="rId3" xr:uid="{EEF48EB4-131F-4CAF-B3EB-B3DCCB800D48}"/>
    <hyperlink ref="C13" r:id="rId4" xr:uid="{142ACAC8-A803-4524-8D67-E38A55539D2E}"/>
    <hyperlink ref="F9" r:id="rId5" display="Do you know how                       to read the               SDS labeling?" xr:uid="{C44AE979-C3A1-4AA8-AF5B-FCF801E76F42}"/>
    <hyperlink ref="F7" r:id="rId6" xr:uid="{3EE2300F-BD53-4380-A2C9-B4405444CAFD}"/>
  </hyperlinks>
  <printOptions horizontalCentered="1" verticalCentered="1"/>
  <pageMargins left="0.2" right="0.2" top="0.25" bottom="0.25" header="0" footer="0"/>
  <pageSetup orientation="landscape" r:id="rId7"/>
  <headerFooter scaleWithDoc="0" alignWithMargins="0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"/>
  <sheetViews>
    <sheetView showGridLines="0" zoomScaleNormal="100" workbookViewId="0">
      <selection activeCell="C7" sqref="C7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A1" s="26"/>
      <c r="B1" s="22"/>
      <c r="C1" s="22"/>
      <c r="D1" s="22"/>
      <c r="E1" s="22"/>
      <c r="F1" s="22"/>
      <c r="G1" s="23"/>
    </row>
    <row r="2" spans="1:17" ht="57.75" customHeight="1" x14ac:dyDescent="0.25">
      <c r="A2" s="213" t="str">
        <f>UPPER(TEXT(DATE(CalendarYear,6,1),"mmmm yyyy"))</f>
        <v>JUNE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96" t="s">
        <v>0</v>
      </c>
      <c r="B3" s="97" t="s">
        <v>1</v>
      </c>
      <c r="C3" s="97" t="s">
        <v>2</v>
      </c>
      <c r="D3" s="97" t="s">
        <v>3</v>
      </c>
      <c r="E3" s="97" t="s">
        <v>4</v>
      </c>
      <c r="F3" s="97" t="s">
        <v>5</v>
      </c>
      <c r="G3" s="98" t="s">
        <v>6</v>
      </c>
      <c r="H3" s="7"/>
      <c r="P3" s="7"/>
      <c r="Q3" s="7"/>
    </row>
    <row r="4" spans="1:17" s="6" customFormat="1" ht="14.25" customHeight="1" x14ac:dyDescent="0.25">
      <c r="A4" s="18" t="str">
        <f>IF(DAY(JunSun1)=1,"",IF(AND(YEAR(JunSun1+1)=CalendarYear,MONTH(JunSun1+1)=6),JunSun1+1,""))</f>
        <v/>
      </c>
      <c r="B4" s="85" t="str">
        <f>IF(DAY(JunSun1)=1,"",IF(AND(YEAR(JunSun1+2)=CalendarYear,MONTH(JunSun1+2)=6),JunSun1+2,""))</f>
        <v/>
      </c>
      <c r="C4" s="2" t="str">
        <f>IF(DAY(JunSun1)=1,"",IF(AND(YEAR(JunSun1+3)=CalendarYear,MONTH(JunSun1+3)=6),JunSun1+3,""))</f>
        <v/>
      </c>
      <c r="D4" s="85" t="str">
        <f>IF(DAY(JunSun1)=1,"",IF(AND(YEAR(JunSun1+4)=CalendarYear,MONTH(JunSun1+4)=6),JunSun1+4,""))</f>
        <v/>
      </c>
      <c r="E4" s="2" t="str">
        <f>IF(DAY(JunSun1)=1,"",IF(AND(YEAR(JunSun1+5)=CalendarYear,MONTH(JunSun1+5)=6),JunSun1+5,""))</f>
        <v/>
      </c>
      <c r="F4" s="85" t="str">
        <f>IF(DAY(JunSun1)=1,"",IF(AND(YEAR(JunSun1+6)=CalendarYear,MONTH(JunSun1+6)=6),JunSun1+6,""))</f>
        <v/>
      </c>
      <c r="G4" s="19">
        <f>IF(DAY(JunSun1)=1,IF(AND(YEAR(JunSun1)=CalendarYear,MONTH(JunSun1)=6),JunSun1,""),IF(AND(YEAR(JunSun1+7)=CalendarYear,MONTH(JunSun1+7)=6),JunSun1+7,""))</f>
        <v>45444</v>
      </c>
      <c r="H4" s="1"/>
      <c r="P4" s="10"/>
      <c r="Q4" s="7"/>
    </row>
    <row r="5" spans="1:17" s="10" customFormat="1" ht="78" customHeight="1" x14ac:dyDescent="0.2">
      <c r="A5" s="44" t="s">
        <v>139</v>
      </c>
      <c r="B5" s="87" t="s">
        <v>140</v>
      </c>
      <c r="C5" s="46" t="s">
        <v>141</v>
      </c>
      <c r="D5" s="87" t="s">
        <v>142</v>
      </c>
      <c r="E5" s="122" t="s">
        <v>143</v>
      </c>
      <c r="F5" s="88" t="s">
        <v>144</v>
      </c>
      <c r="G5" s="49" t="s">
        <v>145</v>
      </c>
      <c r="H5" s="1"/>
    </row>
    <row r="6" spans="1:17" ht="14.25" customHeight="1" x14ac:dyDescent="0.25">
      <c r="A6" s="20">
        <f>IF(DAY(JunSun1)=1,IF(AND(YEAR(JunSun1+1)=CalendarYear,MONTH(JunSun1+1)=6),JunSun1+1,""),IF(AND(YEAR(JunSun1+8)=CalendarYear,MONTH(JunSun1+8)=6),JunSun1+8,""))</f>
        <v>45445</v>
      </c>
      <c r="B6" s="40">
        <f>IF(DAY(JunSun1)=1,IF(AND(YEAR(JunSun1+2)=CalendarYear,MONTH(JunSun1+2)=6),JunSun1+2,""),IF(AND(YEAR(JunSun1+9)=CalendarYear,MONTH(JunSun1+9)=6),JunSun1+9,""))</f>
        <v>45446</v>
      </c>
      <c r="C6" s="5">
        <f>IF(DAY(JunSun1)=1,IF(AND(YEAR(JunSun1+3)=CalendarYear,MONTH(JunSun1+3)=6),JunSun1+3,""),IF(AND(YEAR(JunSun1+10)=CalendarYear,MONTH(JunSun1+10)=6),JunSun1+10,""))</f>
        <v>45447</v>
      </c>
      <c r="D6" s="40">
        <f>IF(DAY(JunSun1)=1,IF(AND(YEAR(JunSun1+4)=CalendarYear,MONTH(JunSun1+4)=6),JunSun1+4,""),IF(AND(YEAR(JunSun1+11)=CalendarYear,MONTH(JunSun1+11)=6),JunSun1+11,""))</f>
        <v>45448</v>
      </c>
      <c r="E6" s="5">
        <f>IF(DAY(JunSun1)=1,IF(AND(YEAR(JunSun1+5)=CalendarYear,MONTH(JunSun1+5)=6),JunSun1+5,""),IF(AND(YEAR(JunSun1+12)=CalendarYear,MONTH(JunSun1+12)=6),JunSun1+12,""))</f>
        <v>45449</v>
      </c>
      <c r="F6" s="40">
        <f>IF(DAY(JunSun1)=1,IF(AND(YEAR(JunSun1+6)=CalendarYear,MONTH(JunSun1+6)=6),JunSun1+6,""),IF(AND(YEAR(JunSun1+13)=CalendarYear,MONTH(JunSun1+13)=6),JunSun1+13,""))</f>
        <v>45450</v>
      </c>
      <c r="G6" s="21">
        <f>IF(DAY(JunSun1)=1,IF(AND(YEAR(JunSun1+7)=CalendarYear,MONTH(JunSun1+7)=6),JunSun1+7,""),IF(AND(YEAR(JunSun1+14)=CalendarYear,MONTH(JunSun1+14)=6),JunSun1+14,""))</f>
        <v>45451</v>
      </c>
      <c r="H6" s="1"/>
    </row>
    <row r="7" spans="1:17" ht="78" customHeight="1" x14ac:dyDescent="0.25">
      <c r="A7" s="91" t="s">
        <v>146</v>
      </c>
      <c r="B7" s="100" t="s">
        <v>147</v>
      </c>
      <c r="C7" s="133" t="s">
        <v>148</v>
      </c>
      <c r="D7" s="75" t="s">
        <v>149</v>
      </c>
      <c r="E7" s="179" t="s">
        <v>150</v>
      </c>
      <c r="G7" s="182" t="s">
        <v>151</v>
      </c>
      <c r="H7" s="1"/>
    </row>
    <row r="8" spans="1:17" ht="14.25" customHeight="1" x14ac:dyDescent="0.25">
      <c r="A8" s="18">
        <f>IF(DAY(JunSun1)=1,IF(AND(YEAR(JunSun1+8)=CalendarYear,MONTH(JunSun1+8)=6),JunSun1+8,""),IF(AND(YEAR(JunSun1+15)=CalendarYear,MONTH(JunSun1+15)=6),JunSun1+15,""))</f>
        <v>45452</v>
      </c>
      <c r="B8" s="85">
        <f>IF(DAY(JunSun1)=1,IF(AND(YEAR(JunSun1+9)=CalendarYear,MONTH(JunSun1+9)=6),JunSun1+9,""),IF(AND(YEAR(JunSun1+16)=CalendarYear,MONTH(JunSun1+16)=6),JunSun1+16,""))</f>
        <v>45453</v>
      </c>
      <c r="C8" s="2">
        <f>IF(DAY(JunSun1)=1,IF(AND(YEAR(JunSun1+10)=CalendarYear,MONTH(JunSun1+10)=6),JunSun1+10,""),IF(AND(YEAR(JunSun1+17)=CalendarYear,MONTH(JunSun1+17)=6),JunSun1+17,""))</f>
        <v>45454</v>
      </c>
      <c r="D8" s="85">
        <f>IF(DAY(JunSun1)=1,IF(AND(YEAR(JunSun1+11)=CalendarYear,MONTH(JunSun1+11)=6),JunSun1+11,""),IF(AND(YEAR(JunSun1+18)=CalendarYear,MONTH(JunSun1+18)=6),JunSun1+18,""))</f>
        <v>45455</v>
      </c>
      <c r="E8" s="2">
        <f>IF(DAY(JunSun1)=1,IF(AND(YEAR(JunSun1+12)=CalendarYear,MONTH(JunSun1+12)=6),JunSun1+12,""),IF(AND(YEAR(JunSun1+19)=CalendarYear,MONTH(JunSun1+19)=6),JunSun1+19,""))</f>
        <v>45456</v>
      </c>
      <c r="F8" s="85">
        <f>IF(DAY(JunSun1)=1,IF(AND(YEAR(JunSun1+13)=CalendarYear,MONTH(JunSun1+13)=6),JunSun1+13,""),IF(AND(YEAR(JunSun1+20)=CalendarYear,MONTH(JunSun1+20)=6),JunSun1+20,""))</f>
        <v>45457</v>
      </c>
      <c r="G8" s="19">
        <f>IF(DAY(JunSun1)=1,IF(AND(YEAR(JunSun1+14)=CalendarYear,MONTH(JunSun1+14)=6),JunSun1+14,""),IF(AND(YEAR(JunSun1+21)=CalendarYear,MONTH(JunSun1+21)=6),JunSun1+21,""))</f>
        <v>45458</v>
      </c>
      <c r="H8" s="1"/>
    </row>
    <row r="9" spans="1:17" ht="78" customHeight="1" x14ac:dyDescent="0.25">
      <c r="A9" s="55" t="s">
        <v>152</v>
      </c>
      <c r="B9" s="135" t="s">
        <v>153</v>
      </c>
      <c r="C9" s="3"/>
      <c r="D9" s="87" t="s">
        <v>154</v>
      </c>
      <c r="E9" s="64" t="s">
        <v>28</v>
      </c>
      <c r="F9" s="90" t="s">
        <v>155</v>
      </c>
      <c r="G9" s="49" t="s">
        <v>156</v>
      </c>
      <c r="H9" s="1"/>
    </row>
    <row r="10" spans="1:17" ht="14.25" customHeight="1" x14ac:dyDescent="0.25">
      <c r="A10" s="20">
        <f>IF(DAY(JunSun1)=1,IF(AND(YEAR(JunSun1+15)=CalendarYear,MONTH(JunSun1+15)=6),JunSun1+15,""),IF(AND(YEAR(JunSun1+22)=CalendarYear,MONTH(JunSun1+22)=6),JunSun1+22,""))</f>
        <v>45459</v>
      </c>
      <c r="B10" s="40">
        <f>IF(DAY(JunSun1)=1,IF(AND(YEAR(JunSun1+16)=CalendarYear,MONTH(JunSun1+16)=6),JunSun1+16,""),IF(AND(YEAR(JunSun1+23)=CalendarYear,MONTH(JunSun1+23)=6),JunSun1+23,""))</f>
        <v>45460</v>
      </c>
      <c r="C10" s="5">
        <f>IF(DAY(JunSun1)=1,IF(AND(YEAR(JunSun1+17)=CalendarYear,MONTH(JunSun1+17)=6),JunSun1+17,""),IF(AND(YEAR(JunSun1+24)=CalendarYear,MONTH(JunSun1+24)=6),JunSun1+24,""))</f>
        <v>45461</v>
      </c>
      <c r="D10" s="40">
        <f>IF(DAY(JunSun1)=1,IF(AND(YEAR(JunSun1+18)=CalendarYear,MONTH(JunSun1+18)=6),JunSun1+18,""),IF(AND(YEAR(JunSun1+25)=CalendarYear,MONTH(JunSun1+25)=6),JunSun1+25,""))</f>
        <v>45462</v>
      </c>
      <c r="E10" s="5">
        <f>IF(DAY(JunSun1)=1,IF(AND(YEAR(JunSun1+19)=CalendarYear,MONTH(JunSun1+19)=6),JunSun1+19,""),IF(AND(YEAR(JunSun1+26)=CalendarYear,MONTH(JunSun1+26)=6),JunSun1+26,""))</f>
        <v>45463</v>
      </c>
      <c r="F10" s="40">
        <f>IF(DAY(JunSun1)=1,IF(AND(YEAR(JunSun1+20)=CalendarYear,MONTH(JunSun1+20)=6),JunSun1+20,""),IF(AND(YEAR(JunSun1+27)=CalendarYear,MONTH(JunSun1+27)=6),JunSun1+27,""))</f>
        <v>45464</v>
      </c>
      <c r="G10" s="21">
        <f>IF(DAY(JunSun1)=1,IF(AND(YEAR(JunSun1+21)=CalendarYear,MONTH(JunSun1+21)=6),JunSun1+21,""),IF(AND(YEAR(JunSun1+28)=CalendarYear,MONTH(JunSun1+28)=6),JunSun1+28,""))</f>
        <v>45465</v>
      </c>
      <c r="H10" s="1"/>
    </row>
    <row r="11" spans="1:17" ht="78" customHeight="1" x14ac:dyDescent="0.25">
      <c r="A11" s="105"/>
      <c r="B11" s="75" t="s">
        <v>157</v>
      </c>
      <c r="C11" s="179" t="s">
        <v>158</v>
      </c>
      <c r="D11" s="75" t="s">
        <v>159</v>
      </c>
      <c r="E11" s="179" t="s">
        <v>160</v>
      </c>
      <c r="F11" s="136" t="s">
        <v>161</v>
      </c>
      <c r="G11" s="182" t="s">
        <v>162</v>
      </c>
      <c r="H11" s="1"/>
    </row>
    <row r="12" spans="1:17" ht="14.25" customHeight="1" x14ac:dyDescent="0.25">
      <c r="A12" s="18">
        <f>IF(DAY(JunSun1)=1,IF(AND(YEAR(JunSun1+22)=CalendarYear,MONTH(JunSun1+22)=6),JunSun1+22,""),IF(AND(YEAR(JunSun1+29)=CalendarYear,MONTH(JunSun1+29)=6),JunSun1+29,""))</f>
        <v>45466</v>
      </c>
      <c r="B12" s="85">
        <f>IF(DAY(JunSun1)=1,IF(AND(YEAR(JunSun1+23)=CalendarYear,MONTH(JunSun1+23)=6),JunSun1+23,""),IF(AND(YEAR(JunSun1+30)=CalendarYear,MONTH(JunSun1+30)=6),JunSun1+30,""))</f>
        <v>45467</v>
      </c>
      <c r="C12" s="2">
        <f>IF(DAY(JunSun1)=1,IF(AND(YEAR(JunSun1+24)=CalendarYear,MONTH(JunSun1+24)=6),JunSun1+24,""),IF(AND(YEAR(JunSun1+31)=CalendarYear,MONTH(JunSun1+31)=6),JunSun1+31,""))</f>
        <v>45468</v>
      </c>
      <c r="D12" s="85">
        <f>IF(DAY(JunSun1)=1,IF(AND(YEAR(JunSun1+25)=CalendarYear,MONTH(JunSun1+25)=6),JunSun1+25,""),IF(AND(YEAR(JunSun1+32)=CalendarYear,MONTH(JunSun1+32)=6),JunSun1+32,""))</f>
        <v>45469</v>
      </c>
      <c r="E12" s="2">
        <f>IF(DAY(JunSun1)=1,IF(AND(YEAR(JunSun1+26)=CalendarYear,MONTH(JunSun1+26)=6),JunSun1+26,""),IF(AND(YEAR(JunSun1+33)=CalendarYear,MONTH(JunSun1+33)=6),JunSun1+33,""))</f>
        <v>45470</v>
      </c>
      <c r="F12" s="85">
        <f>IF(DAY(JunSun1)=1,IF(AND(YEAR(JunSun1+27)=CalendarYear,MONTH(JunSun1+27)=6),JunSun1+27,""),IF(AND(YEAR(JunSun1+34)=CalendarYear,MONTH(JunSun1+34)=6),JunSun1+34,""))</f>
        <v>45471</v>
      </c>
      <c r="G12" s="19">
        <f>IF(DAY(JunSun1)=1,IF(AND(YEAR(JunSun1+28)=CalendarYear,MONTH(JunSun1+28)=6),JunSun1+28,""),IF(AND(YEAR(JunSun1+35)=CalendarYear,MONTH(JunSun1+35)=6),JunSun1+35,""))</f>
        <v>45472</v>
      </c>
      <c r="H12" s="1"/>
    </row>
    <row r="13" spans="1:17" ht="78" customHeight="1" thickBot="1" x14ac:dyDescent="0.3">
      <c r="A13" s="71" t="s">
        <v>163</v>
      </c>
      <c r="B13" s="70" t="s">
        <v>164</v>
      </c>
      <c r="C13" s="137" t="s">
        <v>165</v>
      </c>
      <c r="D13" s="104" t="s">
        <v>166</v>
      </c>
      <c r="E13" s="30"/>
      <c r="F13" s="70" t="s">
        <v>167</v>
      </c>
      <c r="G13" s="31"/>
      <c r="H13" s="1"/>
    </row>
    <row r="14" spans="1:17" ht="17.25" customHeight="1" x14ac:dyDescent="0.25">
      <c r="A14" s="215" t="s">
        <v>37</v>
      </c>
      <c r="B14" s="215"/>
      <c r="C14" s="215"/>
      <c r="D14" s="215"/>
      <c r="E14" s="215"/>
      <c r="F14" s="215"/>
      <c r="G14" s="215"/>
    </row>
    <row r="16" spans="1:17" ht="21" customHeight="1" x14ac:dyDescent="0.25">
      <c r="B16" s="11"/>
      <c r="C16" s="12"/>
      <c r="D16" s="13"/>
    </row>
    <row r="17" ht="19.5" customHeight="1" x14ac:dyDescent="0.25"/>
  </sheetData>
  <mergeCells count="2">
    <mergeCell ref="A2:E2"/>
    <mergeCell ref="A14:G14"/>
  </mergeCells>
  <hyperlinks>
    <hyperlink ref="C7" r:id="rId1" xr:uid="{5086617A-E38E-4AFB-BADE-451C81527844}"/>
    <hyperlink ref="B9" r:id="rId2" xr:uid="{3FB84E50-DCE5-4977-866B-7F51AE586758}"/>
    <hyperlink ref="E5" r:id="rId3" xr:uid="{8CC86316-9CDF-4641-B300-5DBC469D7DDB}"/>
    <hyperlink ref="F11" r:id="rId4" xr:uid="{5A7F3C9F-901E-462E-A546-B61898230B53}"/>
    <hyperlink ref="C13" r:id="rId5" xr:uid="{B6F57A41-37CC-4592-B92B-D5466753C119}"/>
  </hyperlinks>
  <printOptions horizontalCentered="1" verticalCentered="1"/>
  <pageMargins left="0.2" right="0.2" top="0.25" bottom="0.25" header="0" footer="0"/>
  <pageSetup orientation="landscape" r:id="rId6"/>
  <headerFooter scaleWithDoc="0" alignWithMargins="0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8"/>
  <sheetViews>
    <sheetView showGridLines="0" zoomScaleNormal="100" workbookViewId="0">
      <selection activeCell="K6" sqref="K6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A1" s="76"/>
      <c r="B1" s="76"/>
      <c r="C1" s="76"/>
      <c r="D1" s="76"/>
      <c r="E1" s="76"/>
      <c r="F1" s="76"/>
      <c r="G1" s="76"/>
    </row>
    <row r="2" spans="1:17" ht="57.75" customHeight="1" x14ac:dyDescent="0.25">
      <c r="A2" s="213" t="str">
        <f>UPPER(TEXT(DATE(CalendarYear,7,1),"mmmm yyyy"))</f>
        <v>JULY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106" t="s">
        <v>0</v>
      </c>
      <c r="B3" s="107" t="s">
        <v>1</v>
      </c>
      <c r="C3" s="107" t="s">
        <v>2</v>
      </c>
      <c r="D3" s="107" t="s">
        <v>3</v>
      </c>
      <c r="E3" s="107" t="s">
        <v>4</v>
      </c>
      <c r="F3" s="107" t="s">
        <v>5</v>
      </c>
      <c r="G3" s="108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IF(DAY(JulSun1)=1,"",IF(AND(YEAR(JulSun1+1)=CalendarYear,MONTH(JulSun1+1)=7),JulSun1+1,""))</f>
        <v/>
      </c>
      <c r="B4" s="85">
        <f>IF(DAY(JulSun1)=1,"",IF(AND(YEAR(JulSun1+2)=CalendarYear,MONTH(JulSun1+2)=7),JulSun1+2,""))</f>
        <v>45474</v>
      </c>
      <c r="C4" s="2">
        <f>IF(DAY(JulSun1)=1,"",IF(AND(YEAR(JulSun1+3)=CalendarYear,MONTH(JulSun1+3)=7),JulSun1+3,""))</f>
        <v>45475</v>
      </c>
      <c r="D4" s="85">
        <f>IF(DAY(JulSun1)=1,"",IF(AND(YEAR(JulSun1+4)=CalendarYear,MONTH(JulSun1+4)=7),JulSun1+4,""))</f>
        <v>45476</v>
      </c>
      <c r="E4" s="2">
        <f>IF(DAY(JulSun1)=1,"",IF(AND(YEAR(JulSun1+5)=CalendarYear,MONTH(JulSun1+5)=7),JulSun1+5,""))</f>
        <v>45477</v>
      </c>
      <c r="F4" s="85">
        <f>IF(DAY(JulSun1)=1,"",IF(AND(YEAR(JulSun1+6)=CalendarYear,MONTH(JulSun1+6)=7),JulSun1+6,""))</f>
        <v>45478</v>
      </c>
      <c r="G4" s="19">
        <f>IF(DAY(JulSun1)=1,IF(AND(YEAR(JulSun1)=CalendarYear,MONTH(JulSun1)=7),JulSun1,""),IF(AND(YEAR(JulSun1+7)=CalendarYear,MONTH(JulSun1+7)=7),JulSun1+7,""))</f>
        <v>45479</v>
      </c>
      <c r="H4" s="1"/>
      <c r="J4" s="7"/>
      <c r="K4" s="7"/>
      <c r="L4" s="7"/>
      <c r="P4" s="10"/>
      <c r="Q4" s="7"/>
    </row>
    <row r="5" spans="1:17" s="10" customFormat="1" ht="78" customHeight="1" x14ac:dyDescent="0.25">
      <c r="A5" s="44" t="s">
        <v>168</v>
      </c>
      <c r="B5" s="87"/>
      <c r="C5" s="46" t="s">
        <v>169</v>
      </c>
      <c r="D5" s="185" t="s">
        <v>170</v>
      </c>
      <c r="E5" s="184" t="s">
        <v>175</v>
      </c>
      <c r="F5" s="208" t="s">
        <v>172</v>
      </c>
      <c r="G5" s="207" t="s">
        <v>173</v>
      </c>
      <c r="J5" s="72"/>
      <c r="K5" s="72"/>
    </row>
    <row r="6" spans="1:17" ht="14.25" customHeight="1" x14ac:dyDescent="0.25">
      <c r="A6" s="20">
        <f>IF(DAY(JulSun1)=1,IF(AND(YEAR(JulSun1+1)=CalendarYear,MONTH(JulSun1+1)=7),JulSun1+1,""),IF(AND(YEAR(JulSun1+8)=CalendarYear,MONTH(JulSun1+8)=7),JulSun1+8,""))</f>
        <v>45480</v>
      </c>
      <c r="B6" s="40">
        <f>IF(DAY(JulSun1)=1,IF(AND(YEAR(JulSun1+2)=CalendarYear,MONTH(JulSun1+2)=7),JulSun1+2,""),IF(AND(YEAR(JulSun1+9)=CalendarYear,MONTH(JulSun1+9)=7),JulSun1+9,""))</f>
        <v>45481</v>
      </c>
      <c r="C6" s="5">
        <f>IF(DAY(JulSun1)=1,IF(AND(YEAR(JulSun1+3)=CalendarYear,MONTH(JulSun1+3)=7),JulSun1+3,""),IF(AND(YEAR(JulSun1+10)=CalendarYear,MONTH(JulSun1+10)=7),JulSun1+10,""))</f>
        <v>45482</v>
      </c>
      <c r="D6" s="40">
        <f>IF(DAY(JulSun1)=1,IF(AND(YEAR(JulSun1+4)=CalendarYear,MONTH(JulSun1+4)=7),JulSun1+4,""),IF(AND(YEAR(JulSun1+11)=CalendarYear,MONTH(JulSun1+11)=7),JulSun1+11,""))</f>
        <v>45483</v>
      </c>
      <c r="E6" s="2">
        <f>IF(DAY(JulSun1)=1,IF(AND(YEAR(JulSun1+5)=CalendarYear,MONTH(JulSun1+5)=7),JulSun1+5,""),IF(AND(YEAR(JulSun1+12)=CalendarYear,MONTH(JulSun1+12)=7),JulSun1+12,""))</f>
        <v>45484</v>
      </c>
      <c r="F6" s="40">
        <f>IF(DAY(JulSun1)=1,IF(AND(YEAR(JulSun1+6)=CalendarYear,MONTH(JulSun1+6)=7),JulSun1+6,""),IF(AND(YEAR(JulSun1+13)=CalendarYear,MONTH(JulSun1+13)=7),JulSun1+13,""))</f>
        <v>45485</v>
      </c>
      <c r="G6" s="21">
        <f>IF(DAY(JulSun1)=1,IF(AND(YEAR(JulSun1+7)=CalendarYear,MONTH(JulSun1+7)=7),JulSun1+7,""),IF(AND(YEAR(JulSun1+14)=CalendarYear,MONTH(JulSun1+14)=7),JulSun1+14,""))</f>
        <v>45486</v>
      </c>
      <c r="H6" s="1"/>
      <c r="I6" s="72"/>
      <c r="J6" s="72"/>
      <c r="K6" s="72"/>
    </row>
    <row r="7" spans="1:17" ht="78" customHeight="1" x14ac:dyDescent="0.25">
      <c r="A7" s="126"/>
      <c r="B7" s="88" t="s">
        <v>174</v>
      </c>
      <c r="C7" s="186" t="s">
        <v>171</v>
      </c>
      <c r="D7" s="75" t="s">
        <v>176</v>
      </c>
      <c r="E7" s="179" t="s">
        <v>177</v>
      </c>
      <c r="F7" s="83" t="s">
        <v>178</v>
      </c>
      <c r="G7" s="182" t="s">
        <v>179</v>
      </c>
      <c r="H7" s="1"/>
      <c r="I7" s="72"/>
      <c r="J7" s="72"/>
      <c r="K7" s="72"/>
    </row>
    <row r="8" spans="1:17" ht="14.25" customHeight="1" x14ac:dyDescent="0.25">
      <c r="A8" s="20">
        <f>IF(DAY(JulSun1)=1,IF(AND(YEAR(JulSun1+8)=CalendarYear,MONTH(JulSun1+8)=7),JulSun1+8,""),IF(AND(YEAR(JulSun1+15)=CalendarYear,MONTH(JulSun1+15)=7),JulSun1+15,""))</f>
        <v>45487</v>
      </c>
      <c r="B8" s="85">
        <f>IF(DAY(JulSun1)=1,IF(AND(YEAR(JulSun1+9)=CalendarYear,MONTH(JulSun1+9)=7),JulSun1+9,""),IF(AND(YEAR(JulSun1+16)=CalendarYear,MONTH(JulSun1+16)=7),JulSun1+16,""))</f>
        <v>45488</v>
      </c>
      <c r="C8" s="2">
        <f>IF(DAY(JulSun1)=1,IF(AND(YEAR(JulSun1+10)=CalendarYear,MONTH(JulSun1+10)=7),JulSun1+10,""),IF(AND(YEAR(JulSun1+17)=CalendarYear,MONTH(JulSun1+17)=7),JulSun1+17,""))</f>
        <v>45489</v>
      </c>
      <c r="D8" s="85">
        <f>IF(DAY(JulSun1)=1,IF(AND(YEAR(JulSun1+11)=CalendarYear,MONTH(JulSun1+11)=7),JulSun1+11,""),IF(AND(YEAR(JulSun1+18)=CalendarYear,MONTH(JulSun1+18)=7),JulSun1+18,""))</f>
        <v>45490</v>
      </c>
      <c r="E8" s="2">
        <f>IF(DAY(JulSun1)=1,IF(AND(YEAR(JulSun1+12)=CalendarYear,MONTH(JulSun1+12)=7),JulSun1+12,""),IF(AND(YEAR(JulSun1+19)=CalendarYear,MONTH(JulSun1+19)=7),JulSun1+19,""))</f>
        <v>45491</v>
      </c>
      <c r="F8" s="85">
        <f>IF(DAY(JulSun1)=1,IF(AND(YEAR(JulSun1+13)=CalendarYear,MONTH(JulSun1+13)=7),JulSun1+13,""),IF(AND(YEAR(JulSun1+20)=CalendarYear,MONTH(JulSun1+20)=7),JulSun1+20,""))</f>
        <v>45492</v>
      </c>
      <c r="G8" s="19">
        <f>IF(DAY(JulSun1)=1,IF(AND(YEAR(JulSun1+14)=CalendarYear,MONTH(JulSun1+14)=7),JulSun1+14,""),IF(AND(YEAR(JulSun1+21)=CalendarYear,MONTH(JulSun1+21)=7),JulSun1+21,""))</f>
        <v>45493</v>
      </c>
      <c r="H8" s="1"/>
      <c r="I8" s="72"/>
      <c r="J8" s="72"/>
      <c r="K8" s="72"/>
    </row>
    <row r="9" spans="1:17" ht="78" customHeight="1" x14ac:dyDescent="0.25">
      <c r="A9" s="55" t="s">
        <v>180</v>
      </c>
      <c r="B9" s="87" t="s">
        <v>181</v>
      </c>
      <c r="C9" s="46" t="s">
        <v>182</v>
      </c>
      <c r="D9" s="87" t="s">
        <v>183</v>
      </c>
      <c r="E9" s="46" t="s">
        <v>184</v>
      </c>
      <c r="F9" s="88" t="s">
        <v>185</v>
      </c>
      <c r="G9" s="49" t="s">
        <v>186</v>
      </c>
      <c r="H9" s="1"/>
      <c r="I9" s="72"/>
      <c r="J9" s="72"/>
      <c r="K9" s="72"/>
    </row>
    <row r="10" spans="1:17" ht="14.25" customHeight="1" x14ac:dyDescent="0.25">
      <c r="A10" s="20">
        <f>IF(DAY(JulSun1)=1,IF(AND(YEAR(JulSun1+15)=CalendarYear,MONTH(JulSun1+15)=7),JulSun1+15,""),IF(AND(YEAR(JulSun1+22)=CalendarYear,MONTH(JulSun1+22)=7),JulSun1+22,""))</f>
        <v>45494</v>
      </c>
      <c r="B10" s="40">
        <f>IF(DAY(JulSun1)=1,IF(AND(YEAR(JulSun1+16)=CalendarYear,MONTH(JulSun1+16)=7),JulSun1+16,""),IF(AND(YEAR(JulSun1+23)=CalendarYear,MONTH(JulSun1+23)=7),JulSun1+23,""))</f>
        <v>45495</v>
      </c>
      <c r="C10" s="5">
        <f>IF(DAY(JulSun1)=1,IF(AND(YEAR(JulSun1+17)=CalendarYear,MONTH(JulSun1+17)=7),JulSun1+17,""),IF(AND(YEAR(JulSun1+24)=CalendarYear,MONTH(JulSun1+24)=7),JulSun1+24,""))</f>
        <v>45496</v>
      </c>
      <c r="D10" s="40">
        <f>IF(DAY(JulSun1)=1,IF(AND(YEAR(JulSun1+18)=CalendarYear,MONTH(JulSun1+18)=7),JulSun1+18,""),IF(AND(YEAR(JulSun1+25)=CalendarYear,MONTH(JulSun1+25)=7),JulSun1+25,""))</f>
        <v>45497</v>
      </c>
      <c r="E10" s="5">
        <f>IF(DAY(JulSun1)=1,IF(AND(YEAR(JulSun1+19)=CalendarYear,MONTH(JulSun1+19)=7),JulSun1+19,""),IF(AND(YEAR(JulSun1+26)=CalendarYear,MONTH(JulSun1+26)=7),JulSun1+26,""))</f>
        <v>45498</v>
      </c>
      <c r="F10" s="40">
        <f>IF(DAY(JulSun1)=1,IF(AND(YEAR(JulSun1+20)=CalendarYear,MONTH(JulSun1+20)=7),JulSun1+20,""),IF(AND(YEAR(JulSun1+27)=CalendarYear,MONTH(JulSun1+27)=7),JulSun1+27,""))</f>
        <v>45499</v>
      </c>
      <c r="G10" s="21">
        <f>IF(DAY(JulSun1)=1,IF(AND(YEAR(JulSun1+21)=CalendarYear,MONTH(JulSun1+21)=7),JulSun1+21,""),IF(AND(YEAR(JulSun1+28)=CalendarYear,MONTH(JulSun1+28)=7),JulSun1+28,""))</f>
        <v>45500</v>
      </c>
      <c r="H10" s="1"/>
      <c r="I10" s="72"/>
      <c r="J10" s="72"/>
      <c r="K10" s="72"/>
    </row>
    <row r="11" spans="1:17" ht="78" customHeight="1" x14ac:dyDescent="0.25">
      <c r="A11" s="91" t="s">
        <v>187</v>
      </c>
      <c r="B11" s="75" t="s">
        <v>188</v>
      </c>
      <c r="C11" s="179" t="s">
        <v>189</v>
      </c>
      <c r="D11" s="75" t="s">
        <v>190</v>
      </c>
      <c r="E11" s="179" t="s">
        <v>191</v>
      </c>
      <c r="F11" s="100"/>
      <c r="G11" s="182" t="s">
        <v>192</v>
      </c>
      <c r="I11" s="72"/>
      <c r="J11" s="72"/>
    </row>
    <row r="12" spans="1:17" ht="14.25" customHeight="1" x14ac:dyDescent="0.25">
      <c r="A12" s="18">
        <f>IF(DAY(JulSun1)=1,IF(AND(YEAR(JulSun1+22)=CalendarYear,MONTH(JulSun1+22)=7),JulSun1+22,""),IF(AND(YEAR(JulSun1+29)=CalendarYear,MONTH(JulSun1+29)=7),JulSun1+29,""))</f>
        <v>45501</v>
      </c>
      <c r="B12" s="85">
        <f>IF(DAY(JulSun1)=1,IF(AND(YEAR(JulSun1+23)=CalendarYear,MONTH(JulSun1+23)=7),JulSun1+23,""),IF(AND(YEAR(JulSun1+30)=CalendarYear,MONTH(JulSun1+30)=7),JulSun1+30,""))</f>
        <v>45502</v>
      </c>
      <c r="C12" s="2">
        <f>IF(DAY(JulSun1)=1,IF(AND(YEAR(JulSun1+24)=CalendarYear,MONTH(JulSun1+24)=7),JulSun1+24,""),IF(AND(YEAR(JulSun1+31)=CalendarYear,MONTH(JulSun1+31)=7),JulSun1+31,""))</f>
        <v>45503</v>
      </c>
      <c r="D12" s="85">
        <f>IF(DAY(JulSun1)=1,IF(AND(YEAR(JulSun1+25)=CalendarYear,MONTH(JulSun1+25)=7),JulSun1+25,""),IF(AND(YEAR(JulSun1+32)=CalendarYear,MONTH(JulSun1+32)=7),JulSun1+32,""))</f>
        <v>45504</v>
      </c>
      <c r="E12" s="2" t="str">
        <f>IF(DAY(JulSun1)=1,IF(AND(YEAR(JulSun1+26)=CalendarYear,MONTH(JulSun1+26)=7),JulSun1+26,""),IF(AND(YEAR(JulSun1+33)=CalendarYear,MONTH(JulSun1+33)=7),JulSun1+33,""))</f>
        <v/>
      </c>
      <c r="F12" s="85" t="str">
        <f>IF(DAY(JulSun1)=1,IF(AND(YEAR(JulSun1+27)=CalendarYear,MONTH(JulSun1+27)=7),JulSun1+27,""),IF(AND(YEAR(JulSun1+34)=CalendarYear,MONTH(JulSun1+34)=7),JulSun1+34,""))</f>
        <v/>
      </c>
      <c r="G12" s="19" t="str">
        <f>IF(DAY(JulSun1)=1,IF(AND(YEAR(JulSun1+28)=CalendarYear,MONTH(JulSun1+28)=7),JulSun1+28,""),IF(AND(YEAR(JulSun1+35)=CalendarYear,MONTH(JulSun1+35)=7),JulSun1+35,""))</f>
        <v/>
      </c>
      <c r="H12" s="1"/>
      <c r="I12" s="72"/>
      <c r="J12" s="72"/>
      <c r="K12" s="72"/>
    </row>
    <row r="13" spans="1:17" ht="14.25" customHeight="1" x14ac:dyDescent="0.25">
      <c r="A13" s="20" t="str">
        <f>IF(DAY(JulSun1)=1,IF(AND(YEAR(JulSun1+29)=CalendarYear,MONTH(JulSun1+29)=7),JulSun1+29,""),IF(AND(YEAR(JulSun1+36)=CalendarYear,MONTH(JulSun1+36)=7),JulSun1+36,""))</f>
        <v/>
      </c>
      <c r="B13" s="40" t="str">
        <f>IF(DAY(JulSun1)=1,IF(AND(YEAR(JulSun1+30)=CalendarYear,MONTH(JulSun1+30)=7),JulSun1+30,""),IF(AND(YEAR(JulSun1+37)=CalendarYear,MONTH(JulSun1+37)=7),JulSun1+37,""))</f>
        <v/>
      </c>
      <c r="C13" s="5"/>
      <c r="D13" s="218" t="s">
        <v>193</v>
      </c>
      <c r="E13" s="220" t="s">
        <v>194</v>
      </c>
      <c r="F13" s="222" t="s">
        <v>195</v>
      </c>
      <c r="G13" s="224" t="s">
        <v>196</v>
      </c>
      <c r="H13" s="1"/>
      <c r="I13" s="72"/>
      <c r="J13" s="72"/>
      <c r="K13" s="72"/>
    </row>
    <row r="14" spans="1:17" ht="63.75" customHeight="1" thickBot="1" x14ac:dyDescent="0.3">
      <c r="A14" s="71" t="s">
        <v>197</v>
      </c>
      <c r="B14" s="70" t="s">
        <v>198</v>
      </c>
      <c r="C14" s="73"/>
      <c r="D14" s="219"/>
      <c r="E14" s="221"/>
      <c r="F14" s="223"/>
      <c r="G14" s="225"/>
      <c r="H14" s="1"/>
      <c r="I14" s="72"/>
      <c r="J14" s="72"/>
      <c r="K14" s="72"/>
    </row>
    <row r="15" spans="1:17" ht="17.25" customHeight="1" x14ac:dyDescent="0.25">
      <c r="A15" s="215" t="s">
        <v>199</v>
      </c>
      <c r="B15" s="215"/>
      <c r="C15" s="215"/>
      <c r="D15" s="215"/>
      <c r="E15" s="215"/>
      <c r="F15" s="215"/>
      <c r="G15" s="215"/>
      <c r="I15" s="72"/>
      <c r="J15" s="72"/>
      <c r="K15" s="72"/>
    </row>
    <row r="16" spans="1:17" ht="15.75" x14ac:dyDescent="0.25">
      <c r="I16" s="72"/>
      <c r="J16" s="72"/>
      <c r="K16" s="72"/>
    </row>
    <row r="17" spans="2:11" ht="21" customHeight="1" x14ac:dyDescent="0.25">
      <c r="B17" s="11"/>
      <c r="C17" s="12"/>
      <c r="D17" s="13"/>
      <c r="I17"/>
      <c r="J17" s="72"/>
      <c r="K17"/>
    </row>
    <row r="18" spans="2:11" ht="19.5" customHeight="1" x14ac:dyDescent="0.25">
      <c r="I18"/>
      <c r="J18" s="72"/>
      <c r="K18"/>
    </row>
  </sheetData>
  <mergeCells count="6">
    <mergeCell ref="A2:E2"/>
    <mergeCell ref="A15:G15"/>
    <mergeCell ref="D13:D14"/>
    <mergeCell ref="E13:E14"/>
    <mergeCell ref="F13:F14"/>
    <mergeCell ref="G13:G14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16"/>
  <sheetViews>
    <sheetView showGridLines="0" zoomScaleNormal="100" workbookViewId="0">
      <selection activeCell="I3" sqref="I3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/>
    <row r="2" spans="1:17" ht="57.75" customHeight="1" x14ac:dyDescent="0.3">
      <c r="A2" s="213" t="str">
        <f>UPPER(TEXT(DATE(CalendarYear,8,1),"mmmm yyyy"))</f>
        <v>AUGUST 2024</v>
      </c>
      <c r="B2" s="214"/>
      <c r="C2" s="214"/>
      <c r="D2" s="214"/>
      <c r="E2" s="214"/>
      <c r="F2" s="22"/>
      <c r="G2" s="74"/>
    </row>
    <row r="3" spans="1:17" s="6" customFormat="1" ht="29.25" customHeight="1" x14ac:dyDescent="0.25">
      <c r="A3" s="106" t="s">
        <v>0</v>
      </c>
      <c r="B3" s="107" t="s">
        <v>1</v>
      </c>
      <c r="C3" s="107" t="s">
        <v>2</v>
      </c>
      <c r="D3" s="107" t="s">
        <v>3</v>
      </c>
      <c r="E3" s="107" t="s">
        <v>4</v>
      </c>
      <c r="F3" s="107" t="s">
        <v>5</v>
      </c>
      <c r="G3" s="108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 t="str">
        <f>IF(DAY(AugSun1)=1,"",IF(AND(YEAR(AugSun1+1)=CalendarYear,MONTH(AugSun1+1)=8),AugSun1+1,""))</f>
        <v/>
      </c>
      <c r="B4" s="85" t="str">
        <f>IF(DAY(AugSun1)=1,"",IF(AND(YEAR(AugSun1+2)=CalendarYear,MONTH(AugSun1+2)=8),AugSun1+2,""))</f>
        <v/>
      </c>
      <c r="C4" s="2" t="str">
        <f>IF(DAY(AugSun1)=1,"",IF(AND(YEAR(AugSun1+3)=CalendarYear,MONTH(AugSun1+3)=8),AugSun1+3,""))</f>
        <v/>
      </c>
      <c r="D4" s="85" t="str">
        <f>IF(DAY(AugSun1)=1,"",IF(AND(YEAR(AugSun1+4)=CalendarYear,MONTH(AugSun1+4)=8),AugSun1+4,""))</f>
        <v/>
      </c>
      <c r="E4" s="2">
        <f>IF(DAY(AugSun1)=1,"",IF(AND(YEAR(AugSun1+5)=CalendarYear,MONTH(AugSun1+5)=8),AugSun1+5,""))</f>
        <v>45505</v>
      </c>
      <c r="F4" s="85">
        <f>IF(DAY(AugSun1)=1,"",IF(AND(YEAR(AugSun1+6)=CalendarYear,MONTH(AugSun1+6)=8),AugSun1+6,""))</f>
        <v>45506</v>
      </c>
      <c r="G4" s="19">
        <f>IF(DAY(AugSun1)=1,IF(AND(YEAR(AugSun1)=CalendarYear,MONTH(AugSun1)=8),AugSun1,""),IF(AND(YEAR(AugSun1+7)=CalendarYear,MONTH(AugSun1+7)=8),AugSun1+7,""))</f>
        <v>45507</v>
      </c>
      <c r="H4" s="1"/>
      <c r="J4" s="7"/>
      <c r="K4" s="7"/>
      <c r="L4" s="7"/>
      <c r="P4" s="10"/>
      <c r="Q4" s="7"/>
    </row>
    <row r="5" spans="1:17" s="10" customFormat="1" ht="78" customHeight="1" x14ac:dyDescent="0.2">
      <c r="A5" s="109"/>
      <c r="B5" s="86" t="s">
        <v>200</v>
      </c>
      <c r="C5" s="46" t="s">
        <v>107</v>
      </c>
      <c r="D5" s="87" t="s">
        <v>201</v>
      </c>
      <c r="E5" s="122" t="s">
        <v>202</v>
      </c>
      <c r="F5" s="87" t="s">
        <v>203</v>
      </c>
      <c r="G5" s="49" t="s">
        <v>204</v>
      </c>
      <c r="H5" s="43"/>
    </row>
    <row r="6" spans="1:17" ht="14.25" customHeight="1" x14ac:dyDescent="0.25">
      <c r="A6" s="20">
        <f>IF(DAY(AugSun1)=1,IF(AND(YEAR(AugSun1+1)=CalendarYear,MONTH(AugSun1+1)=8),AugSun1+1,""),IF(AND(YEAR(AugSun1+8)=CalendarYear,MONTH(AugSun1+8)=8),AugSun1+8,""))</f>
        <v>45508</v>
      </c>
      <c r="B6" s="40">
        <f>IF(DAY(AugSun1)=1,IF(AND(YEAR(AugSun1+2)=CalendarYear,MONTH(AugSun1+2)=8),AugSun1+2,""),IF(AND(YEAR(AugSun1+9)=CalendarYear,MONTH(AugSun1+9)=8),AugSun1+9,""))</f>
        <v>45509</v>
      </c>
      <c r="C6" s="5">
        <f>IF(DAY(AugSun1)=1,IF(AND(YEAR(AugSun1+3)=CalendarYear,MONTH(AugSun1+3)=8),AugSun1+3,""),IF(AND(YEAR(AugSun1+10)=CalendarYear,MONTH(AugSun1+10)=8),AugSun1+10,""))</f>
        <v>45510</v>
      </c>
      <c r="D6" s="40">
        <f>IF(DAY(AugSun1)=1,IF(AND(YEAR(AugSun1+4)=CalendarYear,MONTH(AugSun1+4)=8),AugSun1+4,""),IF(AND(YEAR(AugSun1+11)=CalendarYear,MONTH(AugSun1+11)=8),AugSun1+11,""))</f>
        <v>45511</v>
      </c>
      <c r="E6" s="5">
        <f>IF(DAY(AugSun1)=1,IF(AND(YEAR(AugSun1+5)=CalendarYear,MONTH(AugSun1+5)=8),AugSun1+5,""),IF(AND(YEAR(AugSun1+12)=CalendarYear,MONTH(AugSun1+12)=8),AugSun1+12,""))</f>
        <v>45512</v>
      </c>
      <c r="F6" s="40">
        <f>IF(DAY(AugSun1)=1,IF(AND(YEAR(AugSun1+6)=CalendarYear,MONTH(AugSun1+6)=8),AugSun1+6,""),IF(AND(YEAR(AugSun1+13)=CalendarYear,MONTH(AugSun1+13)=8),AugSun1+13,""))</f>
        <v>45513</v>
      </c>
      <c r="G6" s="21">
        <f>IF(DAY(AugSun1)=1,IF(AND(YEAR(AugSun1+7)=CalendarYear,MONTH(AugSun1+7)=8),AugSun1+7,""),IF(AND(YEAR(AugSun1+14)=CalendarYear,MONTH(AugSun1+14)=8),AugSun1+14,""))</f>
        <v>45514</v>
      </c>
      <c r="H6" s="1"/>
    </row>
    <row r="7" spans="1:17" ht="78" customHeight="1" x14ac:dyDescent="0.25">
      <c r="A7" s="91" t="s">
        <v>205</v>
      </c>
      <c r="B7" s="136" t="s">
        <v>206</v>
      </c>
      <c r="C7" s="84"/>
      <c r="D7" s="75" t="s">
        <v>207</v>
      </c>
      <c r="E7" s="179" t="s">
        <v>208</v>
      </c>
      <c r="F7" s="138" t="s">
        <v>209</v>
      </c>
      <c r="G7" s="182" t="s">
        <v>210</v>
      </c>
      <c r="H7" s="1"/>
    </row>
    <row r="8" spans="1:17" ht="14.25" customHeight="1" x14ac:dyDescent="0.25">
      <c r="A8" s="18">
        <f>IF(DAY(AugSun1)=1,IF(AND(YEAR(AugSun1+8)=CalendarYear,MONTH(AugSun1+8)=8),AugSun1+8,""),IF(AND(YEAR(AugSun1+15)=CalendarYear,MONTH(AugSun1+15)=8),AugSun1+15,""))</f>
        <v>45515</v>
      </c>
      <c r="B8" s="85">
        <f>IF(DAY(AugSun1)=1,IF(AND(YEAR(AugSun1+9)=CalendarYear,MONTH(AugSun1+9)=8),AugSun1+9,""),IF(AND(YEAR(AugSun1+16)=CalendarYear,MONTH(AugSun1+16)=8),AugSun1+16,""))</f>
        <v>45516</v>
      </c>
      <c r="C8" s="2">
        <f>IF(DAY(AugSun1)=1,IF(AND(YEAR(AugSun1+10)=CalendarYear,MONTH(AugSun1+10)=8),AugSun1+10,""),IF(AND(YEAR(AugSun1+17)=CalendarYear,MONTH(AugSun1+17)=8),AugSun1+17,""))</f>
        <v>45517</v>
      </c>
      <c r="D8" s="85">
        <f>IF(DAY(AugSun1)=1,IF(AND(YEAR(AugSun1+11)=CalendarYear,MONTH(AugSun1+11)=8),AugSun1+11,""),IF(AND(YEAR(AugSun1+18)=CalendarYear,MONTH(AugSun1+18)=8),AugSun1+18,""))</f>
        <v>45518</v>
      </c>
      <c r="E8" s="2">
        <f>IF(DAY(AugSun1)=1,IF(AND(YEAR(AugSun1+12)=CalendarYear,MONTH(AugSun1+12)=8),AugSun1+12,""),IF(AND(YEAR(AugSun1+19)=CalendarYear,MONTH(AugSun1+19)=8),AugSun1+19,""))</f>
        <v>45519</v>
      </c>
      <c r="F8" s="85">
        <f>IF(DAY(AugSun1)=1,IF(AND(YEAR(AugSun1+13)=CalendarYear,MONTH(AugSun1+13)=8),AugSun1+13,""),IF(AND(YEAR(AugSun1+20)=CalendarYear,MONTH(AugSun1+20)=8),AugSun1+20,""))</f>
        <v>45520</v>
      </c>
      <c r="G8" s="19">
        <f>IF(DAY(AugSun1)=1,IF(AND(YEAR(AugSun1+14)=CalendarYear,MONTH(AugSun1+14)=8),AugSun1+14,""),IF(AND(YEAR(AugSun1+21)=CalendarYear,MONTH(AugSun1+21)=8),AugSun1+21,""))</f>
        <v>45521</v>
      </c>
      <c r="H8" s="1"/>
    </row>
    <row r="9" spans="1:17" ht="78" customHeight="1" x14ac:dyDescent="0.25">
      <c r="A9" s="55" t="s">
        <v>211</v>
      </c>
      <c r="B9" s="87" t="s">
        <v>212</v>
      </c>
      <c r="C9" s="46" t="s">
        <v>213</v>
      </c>
      <c r="D9" s="135" t="s">
        <v>214</v>
      </c>
      <c r="E9" s="46" t="s">
        <v>215</v>
      </c>
      <c r="F9" s="90"/>
      <c r="G9" s="49" t="s">
        <v>216</v>
      </c>
      <c r="H9" s="1"/>
    </row>
    <row r="10" spans="1:17" ht="14.25" customHeight="1" x14ac:dyDescent="0.25">
      <c r="A10" s="20">
        <f>IF(DAY(AugSun1)=1,IF(AND(YEAR(AugSun1+15)=CalendarYear,MONTH(AugSun1+15)=8),AugSun1+15,""),IF(AND(YEAR(AugSun1+22)=CalendarYear,MONTH(AugSun1+22)=8),AugSun1+22,""))</f>
        <v>45522</v>
      </c>
      <c r="B10" s="40">
        <f>IF(DAY(AugSun1)=1,IF(AND(YEAR(AugSun1+16)=CalendarYear,MONTH(AugSun1+16)=8),AugSun1+16,""),IF(AND(YEAR(AugSun1+23)=CalendarYear,MONTH(AugSun1+23)=8),AugSun1+23,""))</f>
        <v>45523</v>
      </c>
      <c r="C10" s="5">
        <f>IF(DAY(AugSun1)=1,IF(AND(YEAR(AugSun1+17)=CalendarYear,MONTH(AugSun1+17)=8),AugSun1+17,""),IF(AND(YEAR(AugSun1+24)=CalendarYear,MONTH(AugSun1+24)=8),AugSun1+24,""))</f>
        <v>45524</v>
      </c>
      <c r="D10" s="40">
        <f>IF(DAY(AugSun1)=1,IF(AND(YEAR(AugSun1+18)=CalendarYear,MONTH(AugSun1+18)=8),AugSun1+18,""),IF(AND(YEAR(AugSun1+25)=CalendarYear,MONTH(AugSun1+25)=8),AugSun1+25,""))</f>
        <v>45525</v>
      </c>
      <c r="E10" s="5">
        <f>IF(DAY(AugSun1)=1,IF(AND(YEAR(AugSun1+19)=CalendarYear,MONTH(AugSun1+19)=8),AugSun1+19,""),IF(AND(YEAR(AugSun1+26)=CalendarYear,MONTH(AugSun1+26)=8),AugSun1+26,""))</f>
        <v>45526</v>
      </c>
      <c r="F10" s="40">
        <f>IF(DAY(AugSun1)=1,IF(AND(YEAR(AugSun1+20)=CalendarYear,MONTH(AugSun1+20)=8),AugSun1+20,""),IF(AND(YEAR(AugSun1+27)=CalendarYear,MONTH(AugSun1+27)=8),AugSun1+27,""))</f>
        <v>45527</v>
      </c>
      <c r="G10" s="21">
        <f>IF(DAY(AugSun1)=1,IF(AND(YEAR(AugSun1+21)=CalendarYear,MONTH(AugSun1+21)=8),AugSun1+21,""),IF(AND(YEAR(AugSun1+28)=CalendarYear,MONTH(AugSun1+28)=8),AugSun1+28,""))</f>
        <v>45528</v>
      </c>
      <c r="H10" s="1"/>
    </row>
    <row r="11" spans="1:17" ht="78" customHeight="1" x14ac:dyDescent="0.25">
      <c r="A11" s="91" t="s">
        <v>217</v>
      </c>
      <c r="B11" s="136" t="s">
        <v>218</v>
      </c>
      <c r="C11" s="179" t="s">
        <v>219</v>
      </c>
      <c r="D11" s="75" t="s">
        <v>220</v>
      </c>
      <c r="E11" s="179" t="s">
        <v>221</v>
      </c>
      <c r="F11" s="83" t="s">
        <v>222</v>
      </c>
      <c r="G11" s="182" t="s">
        <v>96</v>
      </c>
      <c r="H11" s="57"/>
    </row>
    <row r="12" spans="1:17" ht="14.25" customHeight="1" x14ac:dyDescent="0.25">
      <c r="A12" s="18">
        <f>IF(DAY(AugSun1)=1,IF(AND(YEAR(AugSun1+22)=CalendarYear,MONTH(AugSun1+22)=8),AugSun1+22,""),IF(AND(YEAR(AugSun1+29)=CalendarYear,MONTH(AugSun1+29)=8),AugSun1+29,""))</f>
        <v>45529</v>
      </c>
      <c r="B12" s="85">
        <f>IF(DAY(AugSun1)=1,IF(AND(YEAR(AugSun1+23)=CalendarYear,MONTH(AugSun1+23)=8),AugSun1+23,""),IF(AND(YEAR(AugSun1+30)=CalendarYear,MONTH(AugSun1+30)=8),AugSun1+30,""))</f>
        <v>45530</v>
      </c>
      <c r="C12" s="2">
        <f>IF(DAY(AugSun1)=1,IF(AND(YEAR(AugSun1+24)=CalendarYear,MONTH(AugSun1+24)=8),AugSun1+24,""),IF(AND(YEAR(AugSun1+31)=CalendarYear,MONTH(AugSun1+31)=8),AugSun1+31,""))</f>
        <v>45531</v>
      </c>
      <c r="D12" s="85">
        <f>IF(DAY(AugSun1)=1,IF(AND(YEAR(AugSun1+25)=CalendarYear,MONTH(AugSun1+25)=8),AugSun1+25,""),IF(AND(YEAR(AugSun1+32)=CalendarYear,MONTH(AugSun1+32)=8),AugSun1+32,""))</f>
        <v>45532</v>
      </c>
      <c r="E12" s="2">
        <f>IF(DAY(AugSun1)=1,IF(AND(YEAR(AugSun1+26)=CalendarYear,MONTH(AugSun1+26)=8),AugSun1+26,""),IF(AND(YEAR(AugSun1+33)=CalendarYear,MONTH(AugSun1+33)=8),AugSun1+33,""))</f>
        <v>45533</v>
      </c>
      <c r="F12" s="85">
        <f>IF(DAY(AugSun1)=1,IF(AND(YEAR(AugSun1+27)=CalendarYear,MONTH(AugSun1+27)=8),AugSun1+27,""),IF(AND(YEAR(AugSun1+34)=CalendarYear,MONTH(AugSun1+34)=8),AugSun1+34,""))</f>
        <v>45534</v>
      </c>
      <c r="G12" s="19">
        <f>IF(DAY(AugSun1)=1,IF(AND(YEAR(AugSun1+28)=CalendarYear,MONTH(AugSun1+28)=8),AugSun1+28,""),IF(AND(YEAR(AugSun1+35)=CalendarYear,MONTH(AugSun1+35)=8),AugSun1+35,""))</f>
        <v>45535</v>
      </c>
      <c r="H12" s="57"/>
    </row>
    <row r="13" spans="1:17" ht="78" customHeight="1" thickBot="1" x14ac:dyDescent="0.3">
      <c r="A13" s="71" t="s">
        <v>223</v>
      </c>
      <c r="B13" s="110"/>
      <c r="C13" s="180" t="s">
        <v>224</v>
      </c>
      <c r="D13" s="70" t="s">
        <v>225</v>
      </c>
      <c r="E13" s="180" t="s">
        <v>226</v>
      </c>
      <c r="F13" s="209" t="s">
        <v>227</v>
      </c>
      <c r="G13" s="111" t="s">
        <v>228</v>
      </c>
    </row>
    <row r="14" spans="1:17" ht="15.75" customHeight="1" x14ac:dyDescent="0.25">
      <c r="A14" s="226" t="s">
        <v>199</v>
      </c>
      <c r="B14" s="226"/>
      <c r="C14" s="226"/>
      <c r="D14" s="226"/>
      <c r="E14" s="226"/>
      <c r="F14" s="226"/>
      <c r="G14" s="226"/>
    </row>
    <row r="15" spans="1:17" ht="21" customHeight="1" x14ac:dyDescent="0.25">
      <c r="B15" s="11"/>
      <c r="C15" s="12"/>
      <c r="D15" s="13"/>
    </row>
    <row r="16" spans="1:17" ht="19.5" customHeight="1" x14ac:dyDescent="0.25"/>
  </sheetData>
  <mergeCells count="2">
    <mergeCell ref="A2:E2"/>
    <mergeCell ref="A14:G14"/>
  </mergeCells>
  <hyperlinks>
    <hyperlink ref="B7" r:id="rId1" xr:uid="{CE234188-F757-433B-9E6C-E0A81A1DCA14}"/>
    <hyperlink ref="F7" r:id="rId2" xr:uid="{98B59BA2-22BA-43F6-A2A1-12B53DB5E4F6}"/>
    <hyperlink ref="D9" r:id="rId3" xr:uid="{9BA7827A-390D-4B88-BDD1-BBBBA9981326}"/>
    <hyperlink ref="B11" r:id="rId4" xr:uid="{3FE26343-243B-44F1-9DBC-F4010F2CCF4B}"/>
    <hyperlink ref="F13" r:id="rId5" xr:uid="{06DCDBC8-AF43-4289-A777-92B6D344E6A7}"/>
    <hyperlink ref="E5" r:id="rId6" xr:uid="{749CB5FE-A138-47E9-890F-A1DFE561FA9C}"/>
  </hyperlinks>
  <printOptions horizontalCentered="1" verticalCentered="1"/>
  <pageMargins left="0.2" right="0.2" top="0" bottom="0" header="0" footer="0"/>
  <pageSetup fitToWidth="0" orientation="landscape" r:id="rId7"/>
  <headerFooter scaleWithDoc="0" alignWithMargins="0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7"/>
  <sheetViews>
    <sheetView showGridLines="0" tabSelected="1" topLeftCell="A8" zoomScaleNormal="100" workbookViewId="0">
      <selection activeCell="G14" sqref="G14"/>
    </sheetView>
  </sheetViews>
  <sheetFormatPr defaultColWidth="6.6640625" defaultRowHeight="15" x14ac:dyDescent="0.25"/>
  <cols>
    <col min="1" max="7" width="16" style="7" customWidth="1"/>
    <col min="8" max="8" width="13.77734375" style="7" customWidth="1"/>
    <col min="9" max="9" width="12.6640625" style="7" customWidth="1"/>
    <col min="10" max="10" width="2.109375" style="7" customWidth="1"/>
    <col min="11" max="11" width="11.77734375" style="7" customWidth="1"/>
    <col min="12" max="12" width="11.33203125" style="7" customWidth="1"/>
    <col min="13" max="16384" width="6.6640625" style="7"/>
  </cols>
  <sheetData>
    <row r="1" spans="1:17" ht="20.25" customHeight="1" thickBot="1" x14ac:dyDescent="0.3">
      <c r="A1" s="76"/>
      <c r="B1" s="76"/>
      <c r="C1" s="76"/>
      <c r="D1" s="76"/>
      <c r="E1" s="76"/>
      <c r="F1" s="76"/>
      <c r="G1" s="76"/>
    </row>
    <row r="2" spans="1:17" ht="57.75" customHeight="1" x14ac:dyDescent="0.25">
      <c r="A2" s="213" t="str">
        <f>UPPER(TEXT(DATE(CalendarYear,9,1),"mmmm yyyy"))</f>
        <v>SEPTEMBER 2024</v>
      </c>
      <c r="B2" s="214"/>
      <c r="C2" s="214"/>
      <c r="D2" s="214"/>
      <c r="E2" s="214"/>
      <c r="F2" s="22"/>
      <c r="G2" s="23"/>
    </row>
    <row r="3" spans="1:17" s="6" customFormat="1" ht="29.25" customHeight="1" x14ac:dyDescent="0.25">
      <c r="A3" s="3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35" t="s">
        <v>6</v>
      </c>
      <c r="H3" s="7"/>
      <c r="I3" s="7"/>
      <c r="K3" s="7"/>
      <c r="L3" s="9"/>
      <c r="P3" s="7"/>
      <c r="Q3" s="7"/>
    </row>
    <row r="4" spans="1:17" s="6" customFormat="1" ht="14.25" customHeight="1" x14ac:dyDescent="0.25">
      <c r="A4" s="18">
        <f>IF(DAY(SepSun1)=1,"",IF(AND(YEAR(SepSun1+1)=CalendarYear,MONTH(SepSun1+1)=9),SepSun1+1,""))</f>
        <v>45536</v>
      </c>
      <c r="B4" s="85">
        <f>IF(DAY(SepSun1)=1,"",IF(AND(YEAR(SepSun1+2)=CalendarYear,MONTH(SepSun1+2)=9),SepSun1+2,""))</f>
        <v>45537</v>
      </c>
      <c r="C4" s="2">
        <f>IF(DAY(SepSun1)=1,"",IF(AND(YEAR(SepSun1+3)=CalendarYear,MONTH(SepSun1+3)=9),SepSun1+3,""))</f>
        <v>45538</v>
      </c>
      <c r="D4" s="85">
        <f>IF(DAY(SepSun1)=1,"",IF(AND(YEAR(SepSun1+4)=CalendarYear,MONTH(SepSun1+4)=9),SepSun1+4,""))</f>
        <v>45539</v>
      </c>
      <c r="E4" s="2">
        <f>IF(DAY(SepSun1)=1,"",IF(AND(YEAR(SepSun1+5)=CalendarYear,MONTH(SepSun1+5)=9),SepSun1+5,""))</f>
        <v>45540</v>
      </c>
      <c r="F4" s="85">
        <f>IF(DAY(SepSun1)=1,"",IF(AND(YEAR(SepSun1+6)=CalendarYear,MONTH(SepSun1+6)=9),SepSun1+6,""))</f>
        <v>45541</v>
      </c>
      <c r="G4" s="19">
        <f>IF(DAY(SepSun1)=1,IF(AND(YEAR(SepSun1)=CalendarYear,MONTH(SepSun1)=9),SepSun1,""),IF(AND(YEAR(SepSun1+7)=CalendarYear,MONTH(SepSun1+7)=9),SepSun1+7,""))</f>
        <v>45542</v>
      </c>
      <c r="H4" s="1"/>
      <c r="J4" s="7"/>
      <c r="K4" s="7"/>
      <c r="L4" s="7"/>
      <c r="P4" s="10"/>
      <c r="Q4" s="7"/>
    </row>
    <row r="5" spans="1:17" s="10" customFormat="1" ht="78" customHeight="1" x14ac:dyDescent="0.25">
      <c r="A5" s="44" t="s">
        <v>229</v>
      </c>
      <c r="B5" s="187"/>
      <c r="C5" s="188"/>
      <c r="D5" s="87" t="s">
        <v>230</v>
      </c>
      <c r="E5" s="134" t="s">
        <v>231</v>
      </c>
      <c r="F5" s="88" t="s">
        <v>232</v>
      </c>
      <c r="G5" s="49"/>
      <c r="H5" s="75"/>
      <c r="I5" s="72"/>
      <c r="J5" s="72"/>
      <c r="K5" s="72"/>
    </row>
    <row r="6" spans="1:17" ht="14.25" customHeight="1" x14ac:dyDescent="0.25">
      <c r="A6" s="20">
        <f>IF(DAY(SepSun1)=1,IF(AND(YEAR(SepSun1+1)=CalendarYear,MONTH(SepSun1+1)=9),SepSun1+1,""),IF(AND(YEAR(SepSun1+8)=CalendarYear,MONTH(SepSun1+8)=9),SepSun1+8,""))</f>
        <v>45543</v>
      </c>
      <c r="B6" s="40">
        <f>IF(DAY(SepSun1)=1,IF(AND(YEAR(SepSun1+2)=CalendarYear,MONTH(SepSun1+2)=9),SepSun1+2,""),IF(AND(YEAR(SepSun1+9)=CalendarYear,MONTH(SepSun1+9)=9),SepSun1+9,""))</f>
        <v>45544</v>
      </c>
      <c r="C6" s="5">
        <f>IF(DAY(SepSun1)=1,IF(AND(YEAR(SepSun1+3)=CalendarYear,MONTH(SepSun1+3)=9),SepSun1+3,""),IF(AND(YEAR(SepSun1+10)=CalendarYear,MONTH(SepSun1+10)=9),SepSun1+10,""))</f>
        <v>45545</v>
      </c>
      <c r="D6" s="40">
        <f>IF(DAY(SepSun1)=1,IF(AND(YEAR(SepSun1+4)=CalendarYear,MONTH(SepSun1+4)=9),SepSun1+4,""),IF(AND(YEAR(SepSun1+11)=CalendarYear,MONTH(SepSun1+11)=9),SepSun1+11,""))</f>
        <v>45546</v>
      </c>
      <c r="E6" s="5">
        <f>IF(DAY(SepSun1)=1,IF(AND(YEAR(SepSun1+5)=CalendarYear,MONTH(SepSun1+5)=9),SepSun1+5,""),IF(AND(YEAR(SepSun1+12)=CalendarYear,MONTH(SepSun1+12)=9),SepSun1+12,""))</f>
        <v>45547</v>
      </c>
      <c r="F6" s="40">
        <f>IF(DAY(SepSun1)=1,IF(AND(YEAR(SepSun1+6)=CalendarYear,MONTH(SepSun1+6)=9),SepSun1+6,""),IF(AND(YEAR(SepSun1+13)=CalendarYear,MONTH(SepSun1+13)=9),SepSun1+13,""))</f>
        <v>45548</v>
      </c>
      <c r="G6" s="21">
        <f>IF(DAY(SepSun1)=1,IF(AND(YEAR(SepSun1+7)=CalendarYear,MONTH(SepSun1+7)=9),SepSun1+7,""),IF(AND(YEAR(SepSun1+14)=CalendarYear,MONTH(SepSun1+14)=9),SepSun1+14,""))</f>
        <v>45549</v>
      </c>
      <c r="H6" s="1"/>
      <c r="I6" s="72"/>
      <c r="K6" s="72"/>
    </row>
    <row r="7" spans="1:17" ht="78" customHeight="1" x14ac:dyDescent="0.25">
      <c r="A7" s="55" t="s">
        <v>233</v>
      </c>
      <c r="B7" s="89" t="s">
        <v>234</v>
      </c>
      <c r="C7" s="122" t="s">
        <v>235</v>
      </c>
      <c r="D7" s="87" t="s">
        <v>236</v>
      </c>
      <c r="E7" s="46" t="s">
        <v>237</v>
      </c>
      <c r="F7" s="139" t="s">
        <v>238</v>
      </c>
      <c r="G7" s="49" t="s">
        <v>239</v>
      </c>
      <c r="H7" s="1"/>
      <c r="J7" s="72"/>
      <c r="K7" s="72"/>
    </row>
    <row r="8" spans="1:17" ht="14.25" customHeight="1" x14ac:dyDescent="0.25">
      <c r="A8" s="18">
        <f>IF(DAY(SepSun1)=1,IF(AND(YEAR(SepSun1+8)=CalendarYear,MONTH(SepSun1+8)=9),SepSun1+8,""),IF(AND(YEAR(SepSun1+15)=CalendarYear,MONTH(SepSun1+15)=9),SepSun1+15,""))</f>
        <v>45550</v>
      </c>
      <c r="B8" s="85">
        <f>IF(DAY(SepSun1)=1,IF(AND(YEAR(SepSun1+9)=CalendarYear,MONTH(SepSun1+9)=9),SepSun1+9,""),IF(AND(YEAR(SepSun1+16)=CalendarYear,MONTH(SepSun1+16)=9),SepSun1+16,""))</f>
        <v>45551</v>
      </c>
      <c r="C8" s="2">
        <f>IF(DAY(SepSun1)=1,IF(AND(YEAR(SepSun1+10)=CalendarYear,MONTH(SepSun1+10)=9),SepSun1+10,""),IF(AND(YEAR(SepSun1+17)=CalendarYear,MONTH(SepSun1+17)=9),SepSun1+17,""))</f>
        <v>45552</v>
      </c>
      <c r="D8" s="85">
        <f>IF(DAY(SepSun1)=1,IF(AND(YEAR(SepSun1+11)=CalendarYear,MONTH(SepSun1+11)=9),SepSun1+11,""),IF(AND(YEAR(SepSun1+18)=CalendarYear,MONTH(SepSun1+18)=9),SepSun1+18,""))</f>
        <v>45553</v>
      </c>
      <c r="E8" s="2">
        <f>IF(DAY(SepSun1)=1,IF(AND(YEAR(SepSun1+12)=CalendarYear,MONTH(SepSun1+12)=9),SepSun1+12,""),IF(AND(YEAR(SepSun1+19)=CalendarYear,MONTH(SepSun1+19)=9),SepSun1+19,""))</f>
        <v>45554</v>
      </c>
      <c r="F8" s="85">
        <f>IF(DAY(SepSun1)=1,IF(AND(YEAR(SepSun1+13)=CalendarYear,MONTH(SepSun1+13)=9),SepSun1+13,""),IF(AND(YEAR(SepSun1+20)=CalendarYear,MONTH(SepSun1+20)=9),SepSun1+20,""))</f>
        <v>45555</v>
      </c>
      <c r="G8" s="19">
        <f>IF(DAY(SepSun1)=1,IF(AND(YEAR(SepSun1+14)=CalendarYear,MONTH(SepSun1+14)=9),SepSun1+14,""),IF(AND(YEAR(SepSun1+21)=CalendarYear,MONTH(SepSun1+21)=9),SepSun1+21,""))</f>
        <v>45556</v>
      </c>
      <c r="H8" s="1"/>
      <c r="I8" s="72"/>
      <c r="J8" s="72"/>
      <c r="K8" s="72"/>
    </row>
    <row r="9" spans="1:17" ht="78" customHeight="1" x14ac:dyDescent="0.25">
      <c r="A9" s="55" t="s">
        <v>240</v>
      </c>
      <c r="B9" s="87" t="s">
        <v>241</v>
      </c>
      <c r="C9" s="122" t="s">
        <v>242</v>
      </c>
      <c r="D9" s="87" t="s">
        <v>243</v>
      </c>
      <c r="E9" s="3"/>
      <c r="F9" s="88" t="s">
        <v>244</v>
      </c>
      <c r="G9" s="69" t="s">
        <v>117</v>
      </c>
      <c r="H9" s="1"/>
      <c r="I9"/>
      <c r="K9" s="72"/>
    </row>
    <row r="10" spans="1:17" ht="14.25" customHeight="1" x14ac:dyDescent="0.25">
      <c r="A10" s="20">
        <f>IF(DAY(SepSun1)=1,IF(AND(YEAR(SepSun1+15)=CalendarYear,MONTH(SepSun1+15)=9),SepSun1+15,""),IF(AND(YEAR(SepSun1+22)=CalendarYear,MONTH(SepSun1+22)=9),SepSun1+22,""))</f>
        <v>45557</v>
      </c>
      <c r="B10" s="40">
        <f>IF(DAY(SepSun1)=1,IF(AND(YEAR(SepSun1+16)=CalendarYear,MONTH(SepSun1+16)=9),SepSun1+16,""),IF(AND(YEAR(SepSun1+23)=CalendarYear,MONTH(SepSun1+23)=9),SepSun1+23,""))</f>
        <v>45558</v>
      </c>
      <c r="C10" s="5">
        <f>IF(DAY(SepSun1)=1,IF(AND(YEAR(SepSun1+17)=CalendarYear,MONTH(SepSun1+17)=9),SepSun1+17,""),IF(AND(YEAR(SepSun1+24)=CalendarYear,MONTH(SepSun1+24)=9),SepSun1+24,""))</f>
        <v>45559</v>
      </c>
      <c r="D10" s="40">
        <f>IF(DAY(SepSun1)=1,IF(AND(YEAR(SepSun1+18)=CalendarYear,MONTH(SepSun1+18)=9),SepSun1+18,""),IF(AND(YEAR(SepSun1+25)=CalendarYear,MONTH(SepSun1+25)=9),SepSun1+25,""))</f>
        <v>45560</v>
      </c>
      <c r="E10" s="5">
        <f>IF(DAY(SepSun1)=1,IF(AND(YEAR(SepSun1+19)=CalendarYear,MONTH(SepSun1+19)=9),SepSun1+19,""),IF(AND(YEAR(SepSun1+26)=CalendarYear,MONTH(SepSun1+26)=9),SepSun1+26,""))</f>
        <v>45561</v>
      </c>
      <c r="F10" s="40">
        <f>IF(DAY(SepSun1)=1,IF(AND(YEAR(SepSun1+20)=CalendarYear,MONTH(SepSun1+20)=9),SepSun1+20,""),IF(AND(YEAR(SepSun1+27)=CalendarYear,MONTH(SepSun1+27)=9),SepSun1+27,""))</f>
        <v>45562</v>
      </c>
      <c r="G10" s="21">
        <f>IF(DAY(SepSun1)=1,IF(AND(YEAR(SepSun1+21)=CalendarYear,MONTH(SepSun1+21)=9),SepSun1+21,""),IF(AND(YEAR(SepSun1+28)=CalendarYear,MONTH(SepSun1+28)=9),SepSun1+28,""))</f>
        <v>45563</v>
      </c>
      <c r="H10" s="1"/>
      <c r="I10" s="72"/>
      <c r="K10" s="72"/>
    </row>
    <row r="11" spans="1:17" ht="78" customHeight="1" x14ac:dyDescent="0.25">
      <c r="A11" s="55" t="s">
        <v>245</v>
      </c>
      <c r="B11" s="95"/>
      <c r="C11" s="46" t="s">
        <v>246</v>
      </c>
      <c r="D11" s="87" t="s">
        <v>247</v>
      </c>
      <c r="E11" s="46" t="s">
        <v>248</v>
      </c>
      <c r="F11" s="139" t="s">
        <v>249</v>
      </c>
      <c r="G11" s="49" t="s">
        <v>250</v>
      </c>
      <c r="H11" s="1"/>
      <c r="I11" s="72"/>
      <c r="K11" s="72"/>
    </row>
    <row r="12" spans="1:17" ht="14.25" customHeight="1" x14ac:dyDescent="0.25">
      <c r="A12" s="18">
        <f>IF(DAY(SepSun1)=1,IF(AND(YEAR(SepSun1+22)=CalendarYear,MONTH(SepSun1+22)=9),SepSun1+22,""),IF(AND(YEAR(SepSun1+29)=CalendarYear,MONTH(SepSun1+29)=9),SepSun1+29,""))</f>
        <v>45564</v>
      </c>
      <c r="B12" s="85">
        <f>IF(DAY(SepSun1)=1,IF(AND(YEAR(SepSun1+23)=CalendarYear,MONTH(SepSun1+23)=9),SepSun1+23,""),IF(AND(YEAR(SepSun1+30)=CalendarYear,MONTH(SepSun1+30)=9),SepSun1+30,""))</f>
        <v>45565</v>
      </c>
      <c r="C12" s="2" t="str">
        <f>IF(DAY(SepSun1)=1,IF(AND(YEAR(SepSun1+24)=CalendarYear,MONTH(SepSun1+24)=9),SepSun1+24,""),IF(AND(YEAR(SepSun1+31)=CalendarYear,MONTH(SepSun1+31)=9),SepSun1+31,""))</f>
        <v/>
      </c>
      <c r="D12" s="112" t="str">
        <f>IF(DAY(SepSun1)=1,IF(AND(YEAR(SepSun1+25)=CalendarYear,MONTH(SepSun1+25)=9),SepSun1+25,""),IF(AND(YEAR(SepSun1+32)=CalendarYear,MONTH(SepSun1+32)=9),SepSun1+32,""))</f>
        <v/>
      </c>
      <c r="E12" s="2" t="str">
        <f>IF(DAY(SepSun1)=1,IF(AND(YEAR(SepSun1+26)=CalendarYear,MONTH(SepSun1+26)=9),SepSun1+26,""),IF(AND(YEAR(SepSun1+33)=CalendarYear,MONTH(SepSun1+33)=9),SepSun1+33,""))</f>
        <v/>
      </c>
      <c r="F12" s="85" t="str">
        <f>IF(DAY(SepSun1)=1,IF(AND(YEAR(SepSun1+27)=CalendarYear,MONTH(SepSun1+27)=9),SepSun1+27,""),IF(AND(YEAR(SepSun1+34)=CalendarYear,MONTH(SepSun1+34)=9),SepSun1+34,""))</f>
        <v/>
      </c>
      <c r="G12" s="19" t="str">
        <f>IF(DAY(SepSun1)=1,IF(AND(YEAR(SepSun1+28)=CalendarYear,MONTH(SepSun1+28)=9),SepSun1+28,""),IF(AND(YEAR(SepSun1+35)=CalendarYear,MONTH(SepSun1+35)=9),SepSun1+35,""))</f>
        <v/>
      </c>
      <c r="H12" s="1"/>
      <c r="I12" s="72"/>
      <c r="K12" s="72"/>
    </row>
    <row r="13" spans="1:17" ht="78" customHeight="1" thickBot="1" x14ac:dyDescent="0.3">
      <c r="A13" s="71" t="s">
        <v>251</v>
      </c>
      <c r="B13" s="70" t="s">
        <v>252</v>
      </c>
      <c r="C13" s="180" t="s">
        <v>253</v>
      </c>
      <c r="D13" s="70" t="s">
        <v>254</v>
      </c>
      <c r="E13" s="137" t="s">
        <v>255</v>
      </c>
      <c r="F13" s="123" t="s">
        <v>256</v>
      </c>
      <c r="G13" s="132"/>
      <c r="H13" s="124"/>
      <c r="I13" s="72"/>
      <c r="K13" s="72"/>
    </row>
    <row r="14" spans="1:17" ht="17.25" customHeight="1" x14ac:dyDescent="0.25">
      <c r="D14" s="38" t="s">
        <v>199</v>
      </c>
      <c r="G14" s="22"/>
      <c r="I14" s="72"/>
      <c r="K14" s="72"/>
    </row>
    <row r="15" spans="1:17" ht="15.75" x14ac:dyDescent="0.25">
      <c r="I15" s="72"/>
      <c r="K15" s="72"/>
    </row>
    <row r="16" spans="1:17" ht="21" customHeight="1" x14ac:dyDescent="0.25">
      <c r="B16" s="11"/>
      <c r="C16" s="12"/>
      <c r="D16" s="13"/>
      <c r="I16" s="72"/>
      <c r="K16"/>
    </row>
    <row r="17" spans="9:11" ht="19.5" customHeight="1" x14ac:dyDescent="0.25">
      <c r="I17" s="72"/>
      <c r="J17" s="72"/>
      <c r="K17"/>
    </row>
  </sheetData>
  <mergeCells count="1">
    <mergeCell ref="A2:E2"/>
  </mergeCells>
  <hyperlinks>
    <hyperlink ref="F11" r:id="rId1" xr:uid="{51783B27-4DF5-4F13-829E-454444BEA160}"/>
    <hyperlink ref="E13" r:id="rId2" xr:uid="{6BBFF0EA-3E18-4D9A-8FD0-9FF13083A411}"/>
    <hyperlink ref="C7" r:id="rId3" xr:uid="{720269C7-0C1F-40C6-AABC-581FA48F14D6}"/>
    <hyperlink ref="C9" r:id="rId4" xr:uid="{E6E8CDE8-83D5-4EDF-8CD5-620CAFE4E22C}"/>
    <hyperlink ref="F7" r:id="rId5" xr:uid="{C5D4A28F-C6A5-4884-9150-195BB5754BF1}"/>
    <hyperlink ref="E5" r:id="rId6" xr:uid="{75EE526D-DF39-4692-8B13-F79FDD0BF8DE}"/>
  </hyperlinks>
  <printOptions horizontalCentered="1" verticalCentered="1"/>
  <pageMargins left="0.2" right="0.2" top="0.25" bottom="0.25" header="0" footer="0"/>
  <pageSetup fitToWidth="0" orientation="landscape" r:id="rId7"/>
  <headerFooter scaleWithDoc="0" alignWithMargins="0"/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5C74E5677D4B4DB1B0991CDCB4B03B" ma:contentTypeVersion="18" ma:contentTypeDescription="Create a new document." ma:contentTypeScope="" ma:versionID="f3f0ee0e00943905882be389efa1f4c2">
  <xsd:schema xmlns:xsd="http://www.w3.org/2001/XMLSchema" xmlns:xs="http://www.w3.org/2001/XMLSchema" xmlns:p="http://schemas.microsoft.com/office/2006/metadata/properties" xmlns:ns2="26d29b98-aeef-4327-9348-13917ee0e6aa" xmlns:ns3="360febeb-7366-4b84-9b0e-9844ea0530c6" targetNamespace="http://schemas.microsoft.com/office/2006/metadata/properties" ma:root="true" ma:fieldsID="76c71130561f5df05f418dc71b6b8a74" ns2:_="" ns3:_="">
    <xsd:import namespace="26d29b98-aeef-4327-9348-13917ee0e6aa"/>
    <xsd:import namespace="360febeb-7366-4b84-9b0e-9844ea0530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d29b98-aeef-4327-9348-13917ee0e6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8fd5359-2be7-4eb3-9208-221a8b14cc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febeb-7366-4b84-9b0e-9844ea0530c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869ef75-dcdb-46b1-b805-f67f0ea43fc3}" ma:internalName="TaxCatchAll" ma:showField="CatchAllData" ma:web="360febeb-7366-4b84-9b0e-9844ea0530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0febeb-7366-4b84-9b0e-9844ea0530c6" xsi:nil="true"/>
    <lcf76f155ced4ddcb4097134ff3c332f xmlns="26d29b98-aeef-4327-9348-13917ee0e6a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5F19C6-C19A-44FF-934C-A62A79922C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d29b98-aeef-4327-9348-13917ee0e6aa"/>
    <ds:schemaRef ds:uri="360febeb-7366-4b84-9b0e-9844ea0530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ECC151-7D36-42DB-A02C-398E9EB052A8}">
  <ds:schemaRefs>
    <ds:schemaRef ds:uri="26d29b98-aeef-4327-9348-13917ee0e6aa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360febeb-7366-4b84-9b0e-9844ea0530c6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8CC2F11-E802-4AAA-9E39-E983584305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Notes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2014-06-23T22:52:47Z</dcterms:created>
  <dcterms:modified xsi:type="dcterms:W3CDTF">2024-08-28T16:50:52Z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TC025512159991</vt:lpwstr>
  </property>
  <property fmtid="{D5CDD505-2E9C-101B-9397-08002B2CF9AE}" pid="3" name="ContentTypeId">
    <vt:lpwstr>0x010100A05C74E5677D4B4DB1B0991CDCB4B03B</vt:lpwstr>
  </property>
  <property fmtid="{D5CDD505-2E9C-101B-9397-08002B2CF9AE}" pid="4" name="Order">
    <vt:r8>1762400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emplateUrl">
    <vt:lpwstr/>
  </property>
  <property fmtid="{D5CDD505-2E9C-101B-9397-08002B2CF9AE}" pid="8" name="ComplianceAssetId">
    <vt:lpwstr/>
  </property>
  <property fmtid="{D5CDD505-2E9C-101B-9397-08002B2CF9AE}" pid="9" name="MediaServiceImageTags">
    <vt:lpwstr/>
  </property>
</Properties>
</file>